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
    </mc:Choice>
  </mc:AlternateContent>
  <xr:revisionPtr revIDLastSave="0" documentId="8_{ACE6B8B1-219F-492A-95AD-029E57E719E6}" xr6:coauthVersionLast="47" xr6:coauthVersionMax="47" xr10:uidLastSave="{00000000-0000-0000-0000-000000000000}"/>
  <bookViews>
    <workbookView xWindow="-120" yWindow="-120" windowWidth="29040" windowHeight="15840" tabRatio="759" activeTab="4" xr2:uid="{00000000-000D-0000-FFFF-FFFF00000000}"/>
  </bookViews>
  <sheets>
    <sheet name="PL1" sheetId="1" r:id="rId1"/>
    <sheet name="PL2A" sheetId="2" r:id="rId2"/>
    <sheet name="PL2B" sheetId="19" r:id="rId3"/>
    <sheet name="PL3" sheetId="16" r:id="rId4"/>
    <sheet name="PL4" sheetId="17" r:id="rId5"/>
    <sheet name="PL4.1" sheetId="20" r:id="rId6"/>
    <sheet name="PL4.2" sheetId="21" r:id="rId7"/>
    <sheet name="PL5" sheetId="6" r:id="rId8"/>
    <sheet name="TONG HOP" sheetId="15" r:id="rId9"/>
    <sheet name="phu luc kem cv UBND" sheetId="18" r:id="rId10"/>
    <sheet name="tieu chuan" sheetId="3" r:id="rId11"/>
  </sheets>
  <definedNames>
    <definedName name="_xlnm.Print_Area" localSheetId="10">'tieu chuan'!$A$1:$T$85</definedName>
    <definedName name="_xlnm.Print_Titles" localSheetId="1">PL2A!$5:$6</definedName>
    <definedName name="_xlnm.Print_Titles" localSheetId="2">PL2B!$5:$6</definedName>
    <definedName name="_xlnm.Print_Titles" localSheetId="3">'PL3'!$4:$5</definedName>
    <definedName name="_xlnm.Print_Titles" localSheetId="4">'PL4'!$4:$5</definedName>
    <definedName name="_xlnm.Print_Titles" localSheetId="7">'PL5'!$4:$5</definedName>
    <definedName name="_xlnm.Print_Titles" localSheetId="10">'tieu chuan'!$3:$4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8" i="16" l="1"/>
  <c r="F6" i="20"/>
  <c r="D6" i="21"/>
  <c r="Q25" i="21"/>
  <c r="P25" i="21"/>
  <c r="N25" i="21"/>
  <c r="M25" i="21"/>
  <c r="K25" i="21"/>
  <c r="J25" i="21"/>
  <c r="H25" i="21"/>
  <c r="G25" i="21"/>
  <c r="E25" i="21"/>
  <c r="D25" i="21"/>
  <c r="E6" i="20"/>
  <c r="P6" i="20"/>
  <c r="M6" i="20"/>
  <c r="J6" i="20"/>
  <c r="G6" i="20"/>
  <c r="D6" i="20"/>
  <c r="G47" i="21"/>
  <c r="I47" i="21" s="1"/>
  <c r="D47" i="21"/>
  <c r="F47" i="21" s="1"/>
  <c r="R46" i="21"/>
  <c r="O46" i="21"/>
  <c r="L46" i="21"/>
  <c r="I46" i="21"/>
  <c r="I44" i="21" s="1"/>
  <c r="F46" i="21"/>
  <c r="M45" i="21"/>
  <c r="M47" i="21" s="1"/>
  <c r="O47" i="21" s="1"/>
  <c r="J45" i="21"/>
  <c r="J47" i="21" s="1"/>
  <c r="L47" i="21" s="1"/>
  <c r="I45" i="21"/>
  <c r="F45" i="21"/>
  <c r="M44" i="21"/>
  <c r="G44" i="21"/>
  <c r="D44" i="21"/>
  <c r="Q43" i="21"/>
  <c r="N43" i="21"/>
  <c r="M43" i="21"/>
  <c r="O43" i="21" s="1"/>
  <c r="O41" i="21" s="1"/>
  <c r="K43" i="21"/>
  <c r="H43" i="21"/>
  <c r="G43" i="21"/>
  <c r="D43" i="21"/>
  <c r="F43" i="21" s="1"/>
  <c r="P41" i="21"/>
  <c r="M41" i="21"/>
  <c r="P43" i="21" s="1"/>
  <c r="J41" i="21"/>
  <c r="G41" i="21"/>
  <c r="J43" i="21" s="1"/>
  <c r="R39" i="21"/>
  <c r="O39" i="21"/>
  <c r="L39" i="21"/>
  <c r="G39" i="21"/>
  <c r="I39" i="21" s="1"/>
  <c r="F39" i="21"/>
  <c r="R38" i="21"/>
  <c r="O38" i="21"/>
  <c r="L38" i="21"/>
  <c r="G38" i="21"/>
  <c r="I38" i="21" s="1"/>
  <c r="F38" i="21"/>
  <c r="R37" i="21"/>
  <c r="O37" i="21"/>
  <c r="L37" i="21"/>
  <c r="G37" i="21"/>
  <c r="I37" i="21" s="1"/>
  <c r="F37" i="21"/>
  <c r="P36" i="21"/>
  <c r="M36" i="21"/>
  <c r="J36" i="21"/>
  <c r="R35" i="21"/>
  <c r="O35" i="21"/>
  <c r="I35" i="21"/>
  <c r="R34" i="21"/>
  <c r="R33" i="21" s="1"/>
  <c r="O34" i="21"/>
  <c r="I34" i="21"/>
  <c r="D34" i="21"/>
  <c r="F34" i="21" s="1"/>
  <c r="J33" i="21"/>
  <c r="J34" i="21" s="1"/>
  <c r="G33" i="21"/>
  <c r="Q32" i="21"/>
  <c r="G32" i="21"/>
  <c r="P32" i="21" s="1"/>
  <c r="F32" i="21"/>
  <c r="Q31" i="21"/>
  <c r="P31" i="21"/>
  <c r="M31" i="21"/>
  <c r="O31" i="21" s="1"/>
  <c r="J31" i="21"/>
  <c r="L31" i="21" s="1"/>
  <c r="I31" i="21"/>
  <c r="F31" i="21"/>
  <c r="G30" i="21"/>
  <c r="D29" i="21"/>
  <c r="H6" i="21"/>
  <c r="E6" i="21"/>
  <c r="R28" i="21"/>
  <c r="D28" i="21"/>
  <c r="F28" i="21" s="1"/>
  <c r="R27" i="21"/>
  <c r="J27" i="21"/>
  <c r="J28" i="21" s="1"/>
  <c r="L28" i="21" s="1"/>
  <c r="G27" i="21"/>
  <c r="G28" i="21" s="1"/>
  <c r="I28" i="21" s="1"/>
  <c r="F27" i="21"/>
  <c r="M26" i="21"/>
  <c r="M27" i="21" s="1"/>
  <c r="O27" i="21" s="1"/>
  <c r="D22" i="21"/>
  <c r="D21" i="21"/>
  <c r="M21" i="21" s="1"/>
  <c r="C21" i="21"/>
  <c r="D20" i="21"/>
  <c r="C20" i="21"/>
  <c r="D19" i="21"/>
  <c r="C19" i="21"/>
  <c r="I18" i="21"/>
  <c r="F18" i="21"/>
  <c r="O18" i="21" s="1"/>
  <c r="G17" i="21"/>
  <c r="I17" i="21" s="1"/>
  <c r="D17" i="21"/>
  <c r="F17" i="21" s="1"/>
  <c r="F16" i="21"/>
  <c r="P15" i="21"/>
  <c r="M15" i="21"/>
  <c r="M17" i="21" s="1"/>
  <c r="O17" i="21" s="1"/>
  <c r="J15" i="21"/>
  <c r="J19" i="21" s="1"/>
  <c r="G15" i="21"/>
  <c r="G19" i="21" s="1"/>
  <c r="C14" i="21"/>
  <c r="C13" i="21"/>
  <c r="C12" i="21"/>
  <c r="D11" i="21"/>
  <c r="D13" i="21" s="1"/>
  <c r="D8" i="21"/>
  <c r="D9" i="21" s="1"/>
  <c r="H6" i="20"/>
  <c r="G35" i="20"/>
  <c r="P35" i="20" s="1"/>
  <c r="D35" i="20"/>
  <c r="D37" i="20" s="1"/>
  <c r="F37" i="20" s="1"/>
  <c r="D34" i="20"/>
  <c r="F34" i="20" s="1"/>
  <c r="D33" i="20"/>
  <c r="F33" i="20" s="1"/>
  <c r="G32" i="20"/>
  <c r="M32" i="20" s="1"/>
  <c r="M33" i="20" s="1"/>
  <c r="O33" i="20" s="1"/>
  <c r="D31" i="20"/>
  <c r="F31" i="20" s="1"/>
  <c r="D30" i="20"/>
  <c r="F30" i="20" s="1"/>
  <c r="G29" i="20"/>
  <c r="M29" i="20" s="1"/>
  <c r="D28" i="20"/>
  <c r="F28" i="20" s="1"/>
  <c r="D27" i="20"/>
  <c r="F27" i="20" s="1"/>
  <c r="G26" i="20"/>
  <c r="J26" i="20" s="1"/>
  <c r="J27" i="20" s="1"/>
  <c r="L27" i="20" s="1"/>
  <c r="D25" i="20"/>
  <c r="F25" i="20" s="1"/>
  <c r="D24" i="20"/>
  <c r="F24" i="20" s="1"/>
  <c r="G23" i="20"/>
  <c r="J23" i="20" s="1"/>
  <c r="D22" i="20"/>
  <c r="F22" i="20" s="1"/>
  <c r="D21" i="20"/>
  <c r="F21" i="20" s="1"/>
  <c r="G20" i="20"/>
  <c r="P20" i="20" s="1"/>
  <c r="P21" i="20" s="1"/>
  <c r="R21" i="20" s="1"/>
  <c r="D17" i="20"/>
  <c r="J17" i="20" s="1"/>
  <c r="J18" i="20" s="1"/>
  <c r="L18" i="20" s="1"/>
  <c r="D14" i="20"/>
  <c r="D15" i="20" s="1"/>
  <c r="F15" i="20" s="1"/>
  <c r="D13" i="20"/>
  <c r="F13" i="20" s="1"/>
  <c r="D12" i="20"/>
  <c r="F12" i="20" s="1"/>
  <c r="P11" i="20"/>
  <c r="P12" i="20" s="1"/>
  <c r="R12" i="20" s="1"/>
  <c r="M11" i="20"/>
  <c r="M13" i="20" s="1"/>
  <c r="O13" i="20" s="1"/>
  <c r="J11" i="20"/>
  <c r="G11" i="20"/>
  <c r="G13" i="20" s="1"/>
  <c r="I13" i="20" s="1"/>
  <c r="D9" i="20"/>
  <c r="D10" i="20" s="1"/>
  <c r="F10" i="20" s="1"/>
  <c r="P8" i="20"/>
  <c r="P9" i="20" s="1"/>
  <c r="P10" i="20" s="1"/>
  <c r="R10" i="20" s="1"/>
  <c r="M8" i="20"/>
  <c r="J8" i="20"/>
  <c r="J9" i="20" s="1"/>
  <c r="J10" i="20" s="1"/>
  <c r="L10" i="20" s="1"/>
  <c r="G8" i="20"/>
  <c r="G9" i="20" s="1"/>
  <c r="O7" i="19"/>
  <c r="F37" i="6"/>
  <c r="J92" i="17"/>
  <c r="G92" i="17"/>
  <c r="D92" i="17"/>
  <c r="M93" i="17"/>
  <c r="P93" i="17" s="1"/>
  <c r="P92" i="17" s="1"/>
  <c r="J93" i="17"/>
  <c r="Q91" i="17"/>
  <c r="N91" i="17"/>
  <c r="K91" i="17"/>
  <c r="H91" i="17"/>
  <c r="Q80" i="17"/>
  <c r="Q79" i="17"/>
  <c r="P78" i="17"/>
  <c r="P80" i="17"/>
  <c r="P79" i="17"/>
  <c r="M78" i="17"/>
  <c r="M80" i="17"/>
  <c r="M79" i="17"/>
  <c r="J78" i="17"/>
  <c r="J80" i="17"/>
  <c r="J79" i="17"/>
  <c r="G78" i="17"/>
  <c r="G80" i="17"/>
  <c r="G67" i="17"/>
  <c r="G50" i="17"/>
  <c r="G47" i="17"/>
  <c r="G44" i="17"/>
  <c r="G41" i="17"/>
  <c r="G38" i="17"/>
  <c r="R25" i="17"/>
  <c r="O25" i="17"/>
  <c r="L25" i="17"/>
  <c r="I25" i="17"/>
  <c r="S25" i="17" s="1"/>
  <c r="F25" i="17"/>
  <c r="D9" i="17"/>
  <c r="I35" i="2"/>
  <c r="B21" i="1"/>
  <c r="B18" i="1"/>
  <c r="B23" i="1" s="1"/>
  <c r="Q18" i="1"/>
  <c r="B19" i="1"/>
  <c r="O21" i="21" l="1"/>
  <c r="J17" i="21"/>
  <c r="L17" i="21" s="1"/>
  <c r="I43" i="21"/>
  <c r="I41" i="21" s="1"/>
  <c r="Q6" i="21"/>
  <c r="D35" i="21"/>
  <c r="F35" i="21" s="1"/>
  <c r="R31" i="21"/>
  <c r="O33" i="21"/>
  <c r="K6" i="21"/>
  <c r="L43" i="21"/>
  <c r="L41" i="21" s="1"/>
  <c r="R36" i="21"/>
  <c r="R26" i="21"/>
  <c r="I40" i="21"/>
  <c r="D12" i="21"/>
  <c r="F12" i="21" s="1"/>
  <c r="O36" i="21"/>
  <c r="D14" i="21"/>
  <c r="G14" i="21" s="1"/>
  <c r="I14" i="21" s="1"/>
  <c r="R32" i="21"/>
  <c r="R30" i="21"/>
  <c r="M32" i="21"/>
  <c r="O32" i="21" s="1"/>
  <c r="O30" i="21" s="1"/>
  <c r="O29" i="21" s="1"/>
  <c r="P21" i="21"/>
  <c r="R21" i="21" s="1"/>
  <c r="F20" i="21"/>
  <c r="L36" i="21"/>
  <c r="L18" i="21"/>
  <c r="G16" i="21"/>
  <c r="F13" i="21"/>
  <c r="J16" i="21"/>
  <c r="F26" i="21"/>
  <c r="I33" i="21"/>
  <c r="F36" i="21"/>
  <c r="S38" i="21"/>
  <c r="L19" i="21"/>
  <c r="G8" i="21"/>
  <c r="J8" i="21" s="1"/>
  <c r="J9" i="21" s="1"/>
  <c r="F19" i="21"/>
  <c r="F15" i="21" s="1"/>
  <c r="N6" i="21"/>
  <c r="S39" i="21"/>
  <c r="F23" i="20"/>
  <c r="G12" i="20"/>
  <c r="I12" i="20" s="1"/>
  <c r="K6" i="20"/>
  <c r="P23" i="20"/>
  <c r="P24" i="20" s="1"/>
  <c r="R24" i="20" s="1"/>
  <c r="M20" i="20"/>
  <c r="M21" i="20" s="1"/>
  <c r="O21" i="20" s="1"/>
  <c r="P22" i="20"/>
  <c r="R22" i="20" s="1"/>
  <c r="R20" i="20" s="1"/>
  <c r="P32" i="20"/>
  <c r="P34" i="20" s="1"/>
  <c r="R34" i="20" s="1"/>
  <c r="G21" i="20"/>
  <c r="I21" i="20" s="1"/>
  <c r="I9" i="20"/>
  <c r="G10" i="20"/>
  <c r="I10" i="20" s="1"/>
  <c r="J25" i="20"/>
  <c r="L25" i="20" s="1"/>
  <c r="J24" i="20"/>
  <c r="L24" i="20" s="1"/>
  <c r="G17" i="20"/>
  <c r="P17" i="20"/>
  <c r="P18" i="20" s="1"/>
  <c r="R18" i="20" s="1"/>
  <c r="P26" i="20"/>
  <c r="M17" i="20"/>
  <c r="M18" i="20" s="1"/>
  <c r="O18" i="20" s="1"/>
  <c r="D18" i="20"/>
  <c r="F18" i="20" s="1"/>
  <c r="J32" i="20"/>
  <c r="G22" i="20"/>
  <c r="I22" i="20" s="1"/>
  <c r="G27" i="20"/>
  <c r="I27" i="20" s="1"/>
  <c r="I26" i="20" s="1"/>
  <c r="G30" i="20"/>
  <c r="I30" i="20" s="1"/>
  <c r="N6" i="20"/>
  <c r="F9" i="20"/>
  <c r="F8" i="20" s="1"/>
  <c r="J19" i="20"/>
  <c r="L19" i="20" s="1"/>
  <c r="L17" i="20" s="1"/>
  <c r="G28" i="20"/>
  <c r="I28" i="20" s="1"/>
  <c r="D36" i="20"/>
  <c r="F36" i="20" s="1"/>
  <c r="F35" i="20" s="1"/>
  <c r="Q6" i="20"/>
  <c r="J20" i="20"/>
  <c r="J28" i="20"/>
  <c r="L28" i="20" s="1"/>
  <c r="L26" i="20" s="1"/>
  <c r="F44" i="21"/>
  <c r="S17" i="21"/>
  <c r="F9" i="21"/>
  <c r="D10" i="21"/>
  <c r="F10" i="21" s="1"/>
  <c r="F33" i="21"/>
  <c r="P8" i="21"/>
  <c r="P9" i="21" s="1"/>
  <c r="I27" i="21"/>
  <c r="L45" i="21"/>
  <c r="R43" i="21"/>
  <c r="R41" i="21" s="1"/>
  <c r="P17" i="21"/>
  <c r="R17" i="21" s="1"/>
  <c r="P16" i="21"/>
  <c r="F14" i="21"/>
  <c r="I19" i="21"/>
  <c r="F21" i="21"/>
  <c r="G21" i="21"/>
  <c r="I21" i="21" s="1"/>
  <c r="S46" i="21"/>
  <c r="M14" i="21"/>
  <c r="O14" i="21" s="1"/>
  <c r="M28" i="21"/>
  <c r="O28" i="21" s="1"/>
  <c r="S28" i="21" s="1"/>
  <c r="P19" i="21"/>
  <c r="R19" i="21" s="1"/>
  <c r="J21" i="21"/>
  <c r="L21" i="21" s="1"/>
  <c r="L34" i="21"/>
  <c r="S34" i="21" s="1"/>
  <c r="J35" i="21"/>
  <c r="L35" i="21" s="1"/>
  <c r="M16" i="21"/>
  <c r="M19" i="21"/>
  <c r="O19" i="21" s="1"/>
  <c r="L27" i="21"/>
  <c r="L26" i="21" s="1"/>
  <c r="I36" i="21"/>
  <c r="S37" i="21"/>
  <c r="S31" i="21"/>
  <c r="F30" i="21"/>
  <c r="J44" i="21"/>
  <c r="J14" i="21"/>
  <c r="L14" i="21" s="1"/>
  <c r="G11" i="21"/>
  <c r="J11" i="21"/>
  <c r="M11" i="21"/>
  <c r="P11" i="21"/>
  <c r="I32" i="21"/>
  <c r="F41" i="21"/>
  <c r="P45" i="21"/>
  <c r="D23" i="21"/>
  <c r="F23" i="21" s="1"/>
  <c r="D24" i="21"/>
  <c r="F24" i="21" s="1"/>
  <c r="P30" i="21"/>
  <c r="P29" i="21" s="1"/>
  <c r="J30" i="21"/>
  <c r="J29" i="21" s="1"/>
  <c r="G29" i="21"/>
  <c r="O45" i="21"/>
  <c r="O44" i="21" s="1"/>
  <c r="O40" i="21" s="1"/>
  <c r="R18" i="21"/>
  <c r="G22" i="21"/>
  <c r="M30" i="21"/>
  <c r="M29" i="21" s="1"/>
  <c r="J32" i="21"/>
  <c r="L32" i="21" s="1"/>
  <c r="L30" i="21" s="1"/>
  <c r="F20" i="20"/>
  <c r="F29" i="20"/>
  <c r="P36" i="20"/>
  <c r="R36" i="20" s="1"/>
  <c r="P37" i="20"/>
  <c r="R37" i="20" s="1"/>
  <c r="F11" i="20"/>
  <c r="M31" i="20"/>
  <c r="O31" i="20" s="1"/>
  <c r="M30" i="20"/>
  <c r="O30" i="20" s="1"/>
  <c r="F26" i="20"/>
  <c r="J12" i="20"/>
  <c r="L12" i="20" s="1"/>
  <c r="J13" i="20"/>
  <c r="L13" i="20" s="1"/>
  <c r="R9" i="20"/>
  <c r="R8" i="20" s="1"/>
  <c r="P25" i="20"/>
  <c r="R25" i="20" s="1"/>
  <c r="R23" i="20" s="1"/>
  <c r="J14" i="20"/>
  <c r="M34" i="20"/>
  <c r="O34" i="20" s="1"/>
  <c r="O32" i="20" s="1"/>
  <c r="P33" i="20"/>
  <c r="R33" i="20" s="1"/>
  <c r="I11" i="20"/>
  <c r="P13" i="20"/>
  <c r="R13" i="20" s="1"/>
  <c r="R11" i="20" s="1"/>
  <c r="G31" i="20"/>
  <c r="I31" i="20" s="1"/>
  <c r="G14" i="20"/>
  <c r="D16" i="20"/>
  <c r="F16" i="20" s="1"/>
  <c r="F14" i="20" s="1"/>
  <c r="P14" i="20"/>
  <c r="M14" i="20"/>
  <c r="M35" i="20"/>
  <c r="G36" i="20"/>
  <c r="I36" i="20" s="1"/>
  <c r="G37" i="20"/>
  <c r="I37" i="20" s="1"/>
  <c r="J35" i="20"/>
  <c r="L9" i="20"/>
  <c r="M12" i="20"/>
  <c r="O12" i="20" s="1"/>
  <c r="O11" i="20" s="1"/>
  <c r="F32" i="20"/>
  <c r="M9" i="20"/>
  <c r="P29" i="20"/>
  <c r="J29" i="20"/>
  <c r="G24" i="20"/>
  <c r="I24" i="20" s="1"/>
  <c r="G25" i="20"/>
  <c r="I25" i="20" s="1"/>
  <c r="G33" i="20"/>
  <c r="I33" i="20" s="1"/>
  <c r="G34" i="20"/>
  <c r="I34" i="20" s="1"/>
  <c r="D19" i="20"/>
  <c r="F19" i="20" s="1"/>
  <c r="M23" i="20"/>
  <c r="M26" i="20"/>
  <c r="B17" i="1"/>
  <c r="M92" i="17"/>
  <c r="M34" i="2"/>
  <c r="G30" i="2"/>
  <c r="I25" i="2"/>
  <c r="I24" i="2"/>
  <c r="I22" i="2"/>
  <c r="I21" i="2"/>
  <c r="I20" i="2"/>
  <c r="I19" i="2"/>
  <c r="I23" i="2" s="1"/>
  <c r="G25" i="2"/>
  <c r="G24" i="2"/>
  <c r="G22" i="2"/>
  <c r="G21" i="2"/>
  <c r="G20" i="2"/>
  <c r="G19" i="2"/>
  <c r="G23" i="2" s="1"/>
  <c r="C16" i="16"/>
  <c r="C17" i="16"/>
  <c r="C18" i="16"/>
  <c r="C19" i="16"/>
  <c r="Q19" i="16" s="1"/>
  <c r="C20" i="16"/>
  <c r="J20" i="16"/>
  <c r="J22" i="16" s="1"/>
  <c r="L20" i="16"/>
  <c r="L22" i="16" s="1"/>
  <c r="N20" i="16"/>
  <c r="N22" i="16" s="1"/>
  <c r="P20" i="16"/>
  <c r="P22" i="16" s="1"/>
  <c r="C21" i="16"/>
  <c r="H21" i="16"/>
  <c r="J21" i="16"/>
  <c r="L21" i="16"/>
  <c r="N21" i="16"/>
  <c r="P21" i="16"/>
  <c r="C22" i="16"/>
  <c r="H22" i="16"/>
  <c r="C23" i="16"/>
  <c r="I23" i="16" s="1"/>
  <c r="J23" i="16"/>
  <c r="L23" i="16"/>
  <c r="N23" i="16"/>
  <c r="P23" i="16"/>
  <c r="AF15" i="1"/>
  <c r="R29" i="21" l="1"/>
  <c r="S18" i="21"/>
  <c r="S35" i="21"/>
  <c r="R25" i="21"/>
  <c r="S32" i="21"/>
  <c r="S30" i="21" s="1"/>
  <c r="P14" i="21"/>
  <c r="R14" i="21" s="1"/>
  <c r="S14" i="21" s="1"/>
  <c r="L16" i="21"/>
  <c r="J18" i="21"/>
  <c r="J20" i="21"/>
  <c r="L20" i="21" s="1"/>
  <c r="M8" i="21"/>
  <c r="M9" i="21" s="1"/>
  <c r="O9" i="21" s="1"/>
  <c r="F29" i="21"/>
  <c r="I16" i="21"/>
  <c r="G20" i="21"/>
  <c r="I20" i="21" s="1"/>
  <c r="F11" i="21"/>
  <c r="G9" i="21"/>
  <c r="G10" i="21" s="1"/>
  <c r="S36" i="21"/>
  <c r="S19" i="21"/>
  <c r="G18" i="21"/>
  <c r="I8" i="20"/>
  <c r="O29" i="20"/>
  <c r="F7" i="20"/>
  <c r="M22" i="20"/>
  <c r="O22" i="20" s="1"/>
  <c r="O20" i="20" s="1"/>
  <c r="L23" i="20"/>
  <c r="I29" i="20"/>
  <c r="I35" i="20"/>
  <c r="R32" i="20"/>
  <c r="M19" i="20"/>
  <c r="O19" i="20" s="1"/>
  <c r="O17" i="20" s="1"/>
  <c r="I20" i="20"/>
  <c r="L11" i="20"/>
  <c r="F17" i="20"/>
  <c r="J22" i="20"/>
  <c r="L22" i="20" s="1"/>
  <c r="S22" i="20" s="1"/>
  <c r="J21" i="20"/>
  <c r="L21" i="20" s="1"/>
  <c r="P19" i="20"/>
  <c r="R19" i="20" s="1"/>
  <c r="R17" i="20" s="1"/>
  <c r="P28" i="20"/>
  <c r="R28" i="20" s="1"/>
  <c r="P27" i="20"/>
  <c r="R27" i="20" s="1"/>
  <c r="R26" i="20" s="1"/>
  <c r="I7" i="20"/>
  <c r="I23" i="20"/>
  <c r="J33" i="20"/>
  <c r="L33" i="20" s="1"/>
  <c r="J34" i="20"/>
  <c r="L34" i="20" s="1"/>
  <c r="S34" i="20" s="1"/>
  <c r="G19" i="20"/>
  <c r="I19" i="20" s="1"/>
  <c r="G18" i="20"/>
  <c r="I18" i="20" s="1"/>
  <c r="I17" i="20" s="1"/>
  <c r="O16" i="21"/>
  <c r="M20" i="21"/>
  <c r="O20" i="21" s="1"/>
  <c r="M18" i="21"/>
  <c r="J22" i="21"/>
  <c r="G23" i="21"/>
  <c r="I23" i="21" s="1"/>
  <c r="P22" i="21"/>
  <c r="M22" i="21"/>
  <c r="G24" i="21"/>
  <c r="I24" i="21" s="1"/>
  <c r="F22" i="21"/>
  <c r="I26" i="21"/>
  <c r="I25" i="21" s="1"/>
  <c r="S27" i="21"/>
  <c r="S26" i="21" s="1"/>
  <c r="F40" i="21"/>
  <c r="S43" i="21"/>
  <c r="S41" i="21" s="1"/>
  <c r="I30" i="21"/>
  <c r="I29" i="21" s="1"/>
  <c r="L9" i="21"/>
  <c r="J10" i="21"/>
  <c r="L10" i="21" s="1"/>
  <c r="O26" i="21"/>
  <c r="O25" i="21" s="1"/>
  <c r="L33" i="21"/>
  <c r="L29" i="21" s="1"/>
  <c r="R9" i="21"/>
  <c r="P10" i="21"/>
  <c r="F8" i="21"/>
  <c r="L44" i="21"/>
  <c r="L40" i="21" s="1"/>
  <c r="L25" i="21"/>
  <c r="P47" i="21"/>
  <c r="R47" i="21" s="1"/>
  <c r="S47" i="21" s="1"/>
  <c r="P44" i="21"/>
  <c r="R45" i="21"/>
  <c r="R44" i="21" s="1"/>
  <c r="R40" i="21" s="1"/>
  <c r="F25" i="21"/>
  <c r="S33" i="21"/>
  <c r="P13" i="21"/>
  <c r="R13" i="21" s="1"/>
  <c r="P12" i="21"/>
  <c r="R12" i="21" s="1"/>
  <c r="J12" i="21"/>
  <c r="L12" i="21" s="1"/>
  <c r="J13" i="21"/>
  <c r="L13" i="21" s="1"/>
  <c r="S21" i="21"/>
  <c r="P20" i="21"/>
  <c r="R20" i="21" s="1"/>
  <c r="R16" i="21"/>
  <c r="R15" i="21" s="1"/>
  <c r="P18" i="21"/>
  <c r="M12" i="21"/>
  <c r="O12" i="21" s="1"/>
  <c r="M13" i="21"/>
  <c r="O13" i="21" s="1"/>
  <c r="G13" i="21"/>
  <c r="I13" i="21" s="1"/>
  <c r="G12" i="21"/>
  <c r="I12" i="21" s="1"/>
  <c r="I9" i="21"/>
  <c r="R7" i="20"/>
  <c r="M27" i="20"/>
  <c r="O27" i="20" s="1"/>
  <c r="M28" i="20"/>
  <c r="O28" i="20" s="1"/>
  <c r="L8" i="20"/>
  <c r="J36" i="20"/>
  <c r="L36" i="20" s="1"/>
  <c r="J37" i="20"/>
  <c r="L37" i="20" s="1"/>
  <c r="G15" i="20"/>
  <c r="I15" i="20" s="1"/>
  <c r="G16" i="20"/>
  <c r="I16" i="20" s="1"/>
  <c r="M24" i="20"/>
  <c r="O24" i="20" s="1"/>
  <c r="M25" i="20"/>
  <c r="O25" i="20" s="1"/>
  <c r="S25" i="20" s="1"/>
  <c r="R35" i="20"/>
  <c r="J16" i="20"/>
  <c r="L16" i="20" s="1"/>
  <c r="J15" i="20"/>
  <c r="L15" i="20" s="1"/>
  <c r="P30" i="20"/>
  <c r="R30" i="20" s="1"/>
  <c r="P31" i="20"/>
  <c r="R31" i="20" s="1"/>
  <c r="O9" i="20"/>
  <c r="S9" i="20" s="1"/>
  <c r="M10" i="20"/>
  <c r="O10" i="20" s="1"/>
  <c r="S10" i="20" s="1"/>
  <c r="M36" i="20"/>
  <c r="O36" i="20" s="1"/>
  <c r="M37" i="20"/>
  <c r="O37" i="20" s="1"/>
  <c r="S13" i="20"/>
  <c r="M15" i="20"/>
  <c r="O15" i="20" s="1"/>
  <c r="M16" i="20"/>
  <c r="O16" i="20" s="1"/>
  <c r="P15" i="20"/>
  <c r="R15" i="20" s="1"/>
  <c r="P16" i="20"/>
  <c r="R16" i="20" s="1"/>
  <c r="I32" i="20"/>
  <c r="S12" i="20"/>
  <c r="J30" i="20"/>
  <c r="L30" i="20" s="1"/>
  <c r="J31" i="20"/>
  <c r="L31" i="20" s="1"/>
  <c r="I19" i="16"/>
  <c r="O19" i="16"/>
  <c r="M19" i="16"/>
  <c r="O23" i="16"/>
  <c r="O21" i="16"/>
  <c r="M23" i="16"/>
  <c r="O22" i="16"/>
  <c r="Q21" i="16"/>
  <c r="M22" i="16"/>
  <c r="M21" i="16"/>
  <c r="K23" i="16"/>
  <c r="K21" i="16"/>
  <c r="I21" i="16"/>
  <c r="Q23" i="16"/>
  <c r="R23" i="16" s="1"/>
  <c r="O20" i="16"/>
  <c r="I22" i="16"/>
  <c r="K22" i="16"/>
  <c r="K20" i="16"/>
  <c r="K19" i="16"/>
  <c r="R19" i="16" s="1"/>
  <c r="M20" i="16"/>
  <c r="Q22" i="16"/>
  <c r="Q20" i="16"/>
  <c r="I20" i="16"/>
  <c r="E8" i="2"/>
  <c r="G9" i="2"/>
  <c r="I9" i="2" s="1"/>
  <c r="K9" i="2" s="1"/>
  <c r="M9" i="2" s="1"/>
  <c r="M8" i="2" s="1"/>
  <c r="M10" i="21" l="1"/>
  <c r="O10" i="21" s="1"/>
  <c r="O8" i="21" s="1"/>
  <c r="S45" i="21"/>
  <c r="S44" i="21" s="1"/>
  <c r="R11" i="21"/>
  <c r="L15" i="21"/>
  <c r="S29" i="21"/>
  <c r="S9" i="21"/>
  <c r="S13" i="21"/>
  <c r="I15" i="21"/>
  <c r="S18" i="20"/>
  <c r="S19" i="20"/>
  <c r="S31" i="20"/>
  <c r="L32" i="20"/>
  <c r="S16" i="20"/>
  <c r="S8" i="20"/>
  <c r="L7" i="20"/>
  <c r="S28" i="20"/>
  <c r="O14" i="20"/>
  <c r="S11" i="20"/>
  <c r="S33" i="20"/>
  <c r="S32" i="20" s="1"/>
  <c r="S21" i="20"/>
  <c r="S20" i="20" s="1"/>
  <c r="L20" i="20"/>
  <c r="O8" i="20"/>
  <c r="O7" i="20" s="1"/>
  <c r="O15" i="21"/>
  <c r="S16" i="21"/>
  <c r="F7" i="21"/>
  <c r="F6" i="21" s="1"/>
  <c r="L8" i="21"/>
  <c r="L11" i="21"/>
  <c r="M23" i="21"/>
  <c r="M24" i="21"/>
  <c r="O24" i="21" s="1"/>
  <c r="I10" i="21"/>
  <c r="G6" i="21"/>
  <c r="P23" i="21"/>
  <c r="R23" i="21" s="1"/>
  <c r="P24" i="21"/>
  <c r="R24" i="21" s="1"/>
  <c r="S25" i="21"/>
  <c r="R10" i="21"/>
  <c r="R8" i="21" s="1"/>
  <c r="O11" i="21"/>
  <c r="S40" i="21"/>
  <c r="I22" i="21"/>
  <c r="I11" i="21"/>
  <c r="S12" i="21"/>
  <c r="S11" i="21" s="1"/>
  <c r="J23" i="21"/>
  <c r="L23" i="21" s="1"/>
  <c r="J24" i="21"/>
  <c r="L24" i="21" s="1"/>
  <c r="S20" i="21"/>
  <c r="L29" i="20"/>
  <c r="S30" i="20"/>
  <c r="I14" i="20"/>
  <c r="I6" i="20" s="1"/>
  <c r="S15" i="20"/>
  <c r="L35" i="20"/>
  <c r="R14" i="20"/>
  <c r="L14" i="20"/>
  <c r="O23" i="20"/>
  <c r="S24" i="20"/>
  <c r="S23" i="20" s="1"/>
  <c r="O26" i="20"/>
  <c r="S27" i="20"/>
  <c r="S37" i="20"/>
  <c r="O35" i="20"/>
  <c r="R29" i="20"/>
  <c r="S36" i="20"/>
  <c r="R21" i="16"/>
  <c r="R22" i="16"/>
  <c r="R20" i="16"/>
  <c r="G8" i="2"/>
  <c r="I8" i="2"/>
  <c r="K8" i="2"/>
  <c r="P6" i="21" l="1"/>
  <c r="J6" i="21"/>
  <c r="S26" i="20"/>
  <c r="S7" i="20"/>
  <c r="S17" i="20"/>
  <c r="S29" i="20"/>
  <c r="R6" i="20"/>
  <c r="O6" i="20"/>
  <c r="S14" i="20"/>
  <c r="S35" i="20"/>
  <c r="L6" i="20"/>
  <c r="S24" i="21"/>
  <c r="S10" i="21"/>
  <c r="S8" i="21" s="1"/>
  <c r="S15" i="21"/>
  <c r="O23" i="21"/>
  <c r="O22" i="21" s="1"/>
  <c r="O7" i="21" s="1"/>
  <c r="O6" i="21" s="1"/>
  <c r="M6" i="21"/>
  <c r="L22" i="21"/>
  <c r="L7" i="21" s="1"/>
  <c r="L6" i="21" s="1"/>
  <c r="S23" i="21"/>
  <c r="R22" i="21"/>
  <c r="R7" i="21" s="1"/>
  <c r="R6" i="21" s="1"/>
  <c r="I8" i="21"/>
  <c r="I7" i="21" s="1"/>
  <c r="I6" i="21" s="1"/>
  <c r="I33" i="19"/>
  <c r="L38" i="19"/>
  <c r="H38" i="19"/>
  <c r="L37" i="19"/>
  <c r="H37" i="19"/>
  <c r="H33" i="19" s="1"/>
  <c r="L36" i="19"/>
  <c r="H36" i="19"/>
  <c r="L35" i="19"/>
  <c r="H35" i="19"/>
  <c r="L34" i="19"/>
  <c r="H34" i="19"/>
  <c r="L33" i="19"/>
  <c r="S22" i="21" l="1"/>
  <c r="S6" i="20"/>
  <c r="S7" i="21"/>
  <c r="S6" i="21" s="1"/>
  <c r="M39" i="19"/>
  <c r="E37" i="19"/>
  <c r="F37" i="19" s="1"/>
  <c r="I36" i="19"/>
  <c r="M34" i="19"/>
  <c r="N34" i="19" s="1"/>
  <c r="M38" i="19"/>
  <c r="N38" i="19" s="1"/>
  <c r="E34" i="19"/>
  <c r="F34" i="19" s="1"/>
  <c r="E38" i="19"/>
  <c r="F38" i="19" s="1"/>
  <c r="I37" i="19"/>
  <c r="M35" i="19"/>
  <c r="N35" i="19" s="1"/>
  <c r="E35" i="19"/>
  <c r="I34" i="19"/>
  <c r="I38" i="19"/>
  <c r="M36" i="19"/>
  <c r="N36" i="19" s="1"/>
  <c r="E36" i="19"/>
  <c r="F36" i="19" s="1"/>
  <c r="I35" i="19"/>
  <c r="M33" i="19"/>
  <c r="M37" i="19"/>
  <c r="N37" i="19"/>
  <c r="F35" i="19"/>
  <c r="AF12" i="1"/>
  <c r="F33" i="19" l="1"/>
  <c r="N33" i="19"/>
  <c r="E10" i="19" l="1"/>
  <c r="E11" i="19"/>
  <c r="E12" i="19"/>
  <c r="E13" i="19"/>
  <c r="E14" i="19"/>
  <c r="G97" i="2"/>
  <c r="V14" i="1" l="1"/>
  <c r="Q14" i="1"/>
  <c r="J14" i="1"/>
  <c r="I14" i="1"/>
  <c r="H14" i="1"/>
  <c r="G14" i="1"/>
  <c r="F14" i="1"/>
  <c r="C14" i="1"/>
  <c r="AG14" i="1"/>
  <c r="AF14" i="1"/>
  <c r="AE14" i="1"/>
  <c r="AD14" i="1"/>
  <c r="AC14" i="1"/>
  <c r="AB14" i="1"/>
  <c r="AA14" i="1"/>
  <c r="Z14" i="1"/>
  <c r="Y14" i="1"/>
  <c r="X14" i="1"/>
  <c r="W14" i="1"/>
  <c r="U14" i="1"/>
  <c r="T14" i="1"/>
  <c r="S14" i="1"/>
  <c r="R14" i="1"/>
  <c r="P14" i="1"/>
  <c r="O14" i="1"/>
  <c r="N14" i="1"/>
  <c r="M14" i="1"/>
  <c r="L14" i="1"/>
  <c r="K14" i="1"/>
  <c r="D14" i="1"/>
  <c r="AB12" i="1"/>
  <c r="Y12" i="1"/>
  <c r="V12" i="1"/>
  <c r="Q12" i="1"/>
  <c r="M12" i="1"/>
  <c r="J12" i="1"/>
  <c r="I12" i="1"/>
  <c r="H12" i="1"/>
  <c r="G12" i="1"/>
  <c r="C12" i="1"/>
  <c r="AG12" i="1"/>
  <c r="AE12" i="1"/>
  <c r="AD12" i="1"/>
  <c r="AC12" i="1"/>
  <c r="AA12" i="1"/>
  <c r="X12" i="1"/>
  <c r="W12" i="1"/>
  <c r="U12" i="1"/>
  <c r="T12" i="1"/>
  <c r="S12" i="1"/>
  <c r="R12" i="1"/>
  <c r="P12" i="1"/>
  <c r="O12" i="1"/>
  <c r="N12" i="1"/>
  <c r="L12" i="1"/>
  <c r="F12" i="1"/>
  <c r="D12" i="1"/>
  <c r="M8" i="1"/>
  <c r="AB8" i="1"/>
  <c r="Y8" i="1"/>
  <c r="AG8" i="1"/>
  <c r="AF8" i="1"/>
  <c r="AE8" i="1"/>
  <c r="AD8" i="1"/>
  <c r="AC8" i="1"/>
  <c r="AA8" i="1"/>
  <c r="Z8" i="1"/>
  <c r="X8" i="1"/>
  <c r="W8" i="1"/>
  <c r="V8" i="1"/>
  <c r="U8" i="1"/>
  <c r="T8" i="1"/>
  <c r="S8" i="1"/>
  <c r="R8" i="1"/>
  <c r="Q8" i="1"/>
  <c r="P8" i="1"/>
  <c r="O8" i="1"/>
  <c r="N8" i="1"/>
  <c r="L8" i="1"/>
  <c r="K8" i="1"/>
  <c r="D8" i="1"/>
  <c r="C8" i="1"/>
  <c r="W7" i="1" l="1"/>
  <c r="X7" i="1"/>
  <c r="AC7" i="1"/>
  <c r="G8" i="1"/>
  <c r="N7" i="1"/>
  <c r="H16" i="16" s="1"/>
  <c r="R7" i="1"/>
  <c r="AA7" i="1"/>
  <c r="O7" i="1"/>
  <c r="Z7" i="1"/>
  <c r="AE7" i="1"/>
  <c r="H8" i="1"/>
  <c r="H7" i="1" s="1"/>
  <c r="L7" i="1"/>
  <c r="D7" i="1"/>
  <c r="U7" i="1"/>
  <c r="S7" i="1"/>
  <c r="AD7" i="1"/>
  <c r="V7" i="1"/>
  <c r="G89" i="2"/>
  <c r="E89" i="2"/>
  <c r="B14" i="1"/>
  <c r="C7" i="1"/>
  <c r="AG7" i="1"/>
  <c r="AF7" i="1"/>
  <c r="T7" i="1"/>
  <c r="B12" i="1"/>
  <c r="P7" i="1"/>
  <c r="G7" i="1"/>
  <c r="AB7" i="1"/>
  <c r="K12" i="1"/>
  <c r="K7" i="1" s="1"/>
  <c r="M7" i="1"/>
  <c r="I8" i="1"/>
  <c r="I7" i="1" s="1"/>
  <c r="Q7" i="1"/>
  <c r="Y7" i="1"/>
  <c r="D32" i="17" s="1"/>
  <c r="F8" i="1"/>
  <c r="F7" i="1" s="1"/>
  <c r="J8" i="1"/>
  <c r="J7" i="1" s="1"/>
  <c r="N16" i="16" l="1"/>
  <c r="I16" i="16"/>
  <c r="P16" i="16"/>
  <c r="H17" i="16"/>
  <c r="I17" i="16" s="1"/>
  <c r="J16" i="16"/>
  <c r="L16" i="16"/>
  <c r="H18" i="16"/>
  <c r="I18" i="16" s="1"/>
  <c r="G27" i="2"/>
  <c r="H28" i="2" s="1"/>
  <c r="C8" i="6"/>
  <c r="B8" i="1"/>
  <c r="E14" i="1"/>
  <c r="E8" i="1"/>
  <c r="G90" i="2"/>
  <c r="I89" i="2"/>
  <c r="G94" i="2"/>
  <c r="G93" i="2"/>
  <c r="E12" i="1"/>
  <c r="J17" i="16" l="1"/>
  <c r="K17" i="16" s="1"/>
  <c r="K16" i="16"/>
  <c r="J18" i="16"/>
  <c r="K18" i="16" s="1"/>
  <c r="P17" i="16"/>
  <c r="Q17" i="16" s="1"/>
  <c r="Q16" i="16"/>
  <c r="P18" i="16"/>
  <c r="Q18" i="16" s="1"/>
  <c r="M16" i="16"/>
  <c r="R16" i="16" s="1"/>
  <c r="L17" i="16"/>
  <c r="M17" i="16" s="1"/>
  <c r="L18" i="16"/>
  <c r="M18" i="16" s="1"/>
  <c r="N17" i="16"/>
  <c r="O17" i="16" s="1"/>
  <c r="N18" i="16"/>
  <c r="O18" i="16" s="1"/>
  <c r="O16" i="16"/>
  <c r="E7" i="1"/>
  <c r="AG17" i="1"/>
  <c r="AG18" i="1" s="1"/>
  <c r="AE17" i="1"/>
  <c r="AE18" i="1" s="1"/>
  <c r="AD18" i="1"/>
  <c r="AC17" i="1"/>
  <c r="AC18" i="1" s="1"/>
  <c r="P17" i="1"/>
  <c r="P18" i="1" s="1"/>
  <c r="U17" i="1"/>
  <c r="U18" i="1" s="1"/>
  <c r="T19" i="1"/>
  <c r="T17" i="1" s="1"/>
  <c r="Q17" i="1" s="1"/>
  <c r="S19" i="1"/>
  <c r="R19" i="1"/>
  <c r="R17" i="1"/>
  <c r="X17" i="1"/>
  <c r="X18" i="1" s="1"/>
  <c r="W19" i="1"/>
  <c r="W17" i="1"/>
  <c r="V18" i="1"/>
  <c r="N17" i="1"/>
  <c r="N18" i="1" s="1"/>
  <c r="L19" i="1"/>
  <c r="R18" i="16" l="1"/>
  <c r="R17" i="16"/>
  <c r="W18" i="1"/>
  <c r="D29" i="17"/>
  <c r="G29" i="17" s="1"/>
  <c r="D15" i="17"/>
  <c r="G15" i="17" s="1"/>
  <c r="G56" i="17"/>
  <c r="M18" i="2"/>
  <c r="K18" i="2"/>
  <c r="R18" i="1"/>
  <c r="B22" i="1"/>
  <c r="B24" i="1" l="1"/>
  <c r="B20" i="1"/>
  <c r="M43" i="2"/>
  <c r="I44" i="2"/>
  <c r="I48" i="2"/>
  <c r="K43" i="2"/>
  <c r="K46" i="2" s="1"/>
  <c r="I27" i="2"/>
  <c r="K27" i="2"/>
  <c r="I36" i="2"/>
  <c r="I40" i="2"/>
  <c r="I41" i="2"/>
  <c r="K35" i="2"/>
  <c r="M56" i="17"/>
  <c r="P56" i="17"/>
  <c r="J56" i="17"/>
  <c r="I28" i="2" l="1"/>
  <c r="K28" i="2"/>
  <c r="L28" i="2" s="1"/>
  <c r="M27" i="2"/>
  <c r="I32" i="2"/>
  <c r="M32" i="2" s="1"/>
  <c r="I29" i="2"/>
  <c r="M29" i="2" s="1"/>
  <c r="I31" i="2"/>
  <c r="M31" i="2" s="1"/>
  <c r="I30" i="2"/>
  <c r="M30" i="2" s="1"/>
  <c r="I33" i="2"/>
  <c r="M33" i="2" s="1"/>
  <c r="P44" i="17"/>
  <c r="J44" i="17"/>
  <c r="M44" i="17"/>
  <c r="P41" i="17"/>
  <c r="J41" i="17"/>
  <c r="M41" i="17"/>
  <c r="M29" i="17"/>
  <c r="P29" i="17"/>
  <c r="J29" i="17"/>
  <c r="M47" i="17"/>
  <c r="P47" i="17"/>
  <c r="J47" i="17"/>
  <c r="M35" i="2"/>
  <c r="K42" i="2"/>
  <c r="K38" i="2"/>
  <c r="K37" i="2"/>
  <c r="P15" i="17"/>
  <c r="M15" i="17"/>
  <c r="J15" i="17"/>
  <c r="P38" i="17"/>
  <c r="J38" i="17"/>
  <c r="M38" i="17"/>
  <c r="J50" i="17"/>
  <c r="P50" i="17"/>
  <c r="M50" i="17"/>
  <c r="M48" i="2"/>
  <c r="M44" i="2"/>
  <c r="C28" i="17"/>
  <c r="C21" i="17"/>
  <c r="C27" i="17"/>
  <c r="C20" i="17"/>
  <c r="J28" i="2" l="1"/>
  <c r="M28" i="2"/>
  <c r="N28" i="2" s="1"/>
  <c r="M41" i="2"/>
  <c r="M40" i="2"/>
  <c r="M39" i="2"/>
  <c r="M36" i="2"/>
  <c r="P95" i="17"/>
  <c r="R94" i="17"/>
  <c r="G95" i="17" l="1"/>
  <c r="I95" i="17" s="1"/>
  <c r="M95" i="17"/>
  <c r="R93" i="17"/>
  <c r="L93" i="17"/>
  <c r="O93" i="17"/>
  <c r="I93" i="17"/>
  <c r="F93" i="17"/>
  <c r="D95" i="17"/>
  <c r="F95" i="17" s="1"/>
  <c r="F94" i="17"/>
  <c r="O94" i="17" l="1"/>
  <c r="R95" i="17"/>
  <c r="R92" i="17" s="1"/>
  <c r="J95" i="17"/>
  <c r="S93" i="17"/>
  <c r="F92" i="17"/>
  <c r="I94" i="17" l="1"/>
  <c r="L95" i="17"/>
  <c r="L94" i="17"/>
  <c r="O95" i="17"/>
  <c r="O92" i="17" s="1"/>
  <c r="E21" i="19"/>
  <c r="E25" i="19" s="1"/>
  <c r="F25" i="19" s="1"/>
  <c r="L79" i="17"/>
  <c r="B12" i="18"/>
  <c r="H19" i="6"/>
  <c r="J19" i="6"/>
  <c r="L19" i="6"/>
  <c r="F20" i="6"/>
  <c r="I20" i="6"/>
  <c r="I19" i="6" s="1"/>
  <c r="K20" i="6"/>
  <c r="K19" i="6" s="1"/>
  <c r="M20" i="6"/>
  <c r="M19" i="6" s="1"/>
  <c r="F23" i="6"/>
  <c r="G23" i="6" s="1"/>
  <c r="I23" i="6"/>
  <c r="J23" i="6"/>
  <c r="L23" i="6"/>
  <c r="M23" i="6" s="1"/>
  <c r="G24" i="6"/>
  <c r="H24" i="6"/>
  <c r="I24" i="6" s="1"/>
  <c r="J24" i="6"/>
  <c r="K24" i="6" s="1"/>
  <c r="L24" i="6"/>
  <c r="F25" i="6"/>
  <c r="G25" i="6" s="1"/>
  <c r="J25" i="6"/>
  <c r="K25" i="6" s="1"/>
  <c r="L25" i="6"/>
  <c r="M25" i="6" s="1"/>
  <c r="G26" i="6"/>
  <c r="J26" i="6"/>
  <c r="K26" i="6" s="1"/>
  <c r="L26" i="6"/>
  <c r="M26" i="6" s="1"/>
  <c r="G27" i="6"/>
  <c r="I27" i="6"/>
  <c r="J27" i="6"/>
  <c r="K27" i="6" s="1"/>
  <c r="L27" i="6"/>
  <c r="M27" i="6" s="1"/>
  <c r="C28" i="6"/>
  <c r="K28" i="6"/>
  <c r="M28" i="6"/>
  <c r="G29" i="6"/>
  <c r="K29" i="6"/>
  <c r="L29" i="6"/>
  <c r="M29" i="6" s="1"/>
  <c r="G30" i="6"/>
  <c r="H30" i="6"/>
  <c r="I30" i="6" s="1"/>
  <c r="J30" i="6"/>
  <c r="K30" i="6" s="1"/>
  <c r="L30" i="6"/>
  <c r="M30" i="6" s="1"/>
  <c r="G31" i="6"/>
  <c r="H31" i="6"/>
  <c r="I31" i="6" s="1"/>
  <c r="J31" i="6"/>
  <c r="K31" i="6" s="1"/>
  <c r="L31" i="6"/>
  <c r="M31" i="6" s="1"/>
  <c r="F32" i="6"/>
  <c r="G32" i="6" s="1"/>
  <c r="I32" i="6"/>
  <c r="J32" i="6"/>
  <c r="K32" i="6" s="1"/>
  <c r="L32" i="6"/>
  <c r="M32" i="6" s="1"/>
  <c r="F33" i="6"/>
  <c r="G33" i="6" s="1"/>
  <c r="J33" i="6"/>
  <c r="K33" i="6" s="1"/>
  <c r="L33" i="6"/>
  <c r="M33" i="6" s="1"/>
  <c r="F34" i="6"/>
  <c r="G34" i="6" s="1"/>
  <c r="I34" i="6"/>
  <c r="J34" i="6"/>
  <c r="K34" i="6" s="1"/>
  <c r="L34" i="6"/>
  <c r="M34" i="6" s="1"/>
  <c r="H35" i="6"/>
  <c r="I35" i="6" s="1"/>
  <c r="F36" i="6"/>
  <c r="H37" i="6"/>
  <c r="G37" i="6"/>
  <c r="G36" i="6" s="1"/>
  <c r="J37" i="6"/>
  <c r="J36" i="6" s="1"/>
  <c r="N37" i="6"/>
  <c r="N36" i="6" s="1"/>
  <c r="F38" i="6"/>
  <c r="G39" i="6"/>
  <c r="I39" i="6"/>
  <c r="J38" i="6"/>
  <c r="M39" i="6"/>
  <c r="G40" i="6"/>
  <c r="I40" i="6"/>
  <c r="K40" i="6"/>
  <c r="M40" i="6"/>
  <c r="O40" i="6"/>
  <c r="G41" i="6"/>
  <c r="I41" i="6"/>
  <c r="K41" i="6"/>
  <c r="M41" i="6"/>
  <c r="O41" i="6"/>
  <c r="C19" i="17"/>
  <c r="C26" i="17"/>
  <c r="G61" i="17"/>
  <c r="I61" i="17" s="1"/>
  <c r="R61" i="17"/>
  <c r="R62" i="17"/>
  <c r="E63" i="17"/>
  <c r="E59" i="17" s="1"/>
  <c r="E6" i="17" s="1"/>
  <c r="H63" i="17"/>
  <c r="K63" i="17"/>
  <c r="N63" i="17"/>
  <c r="P63" i="17"/>
  <c r="Q63" i="17"/>
  <c r="R65" i="17"/>
  <c r="R66" i="17"/>
  <c r="H67" i="17"/>
  <c r="K67" i="17"/>
  <c r="N67" i="17"/>
  <c r="P67" i="17"/>
  <c r="Q67" i="17"/>
  <c r="G69" i="17"/>
  <c r="I69" i="17" s="1"/>
  <c r="J68" i="17"/>
  <c r="J69" i="17" s="1"/>
  <c r="L69" i="17" s="1"/>
  <c r="M68" i="17"/>
  <c r="F69" i="17"/>
  <c r="R69" i="17"/>
  <c r="F70" i="17"/>
  <c r="R70" i="17"/>
  <c r="I72" i="17"/>
  <c r="J71" i="17"/>
  <c r="J73" i="17" s="1"/>
  <c r="L73" i="17" s="1"/>
  <c r="M71" i="17"/>
  <c r="M72" i="17" s="1"/>
  <c r="O72" i="17" s="1"/>
  <c r="F72" i="17"/>
  <c r="R72" i="17"/>
  <c r="F73" i="17"/>
  <c r="R73" i="17"/>
  <c r="I76" i="17"/>
  <c r="J74" i="17"/>
  <c r="M74" i="17"/>
  <c r="M76" i="17" s="1"/>
  <c r="O76" i="17" s="1"/>
  <c r="F75" i="17"/>
  <c r="R75" i="17"/>
  <c r="F76" i="17"/>
  <c r="R76" i="17"/>
  <c r="I79" i="17"/>
  <c r="G81" i="17"/>
  <c r="I82" i="17"/>
  <c r="O82" i="17"/>
  <c r="R82" i="17"/>
  <c r="I83" i="17"/>
  <c r="O83" i="17"/>
  <c r="R83" i="17"/>
  <c r="J84" i="17"/>
  <c r="M84" i="17"/>
  <c r="P84" i="17"/>
  <c r="F85" i="17"/>
  <c r="L85" i="17"/>
  <c r="O85" i="17"/>
  <c r="R85" i="17"/>
  <c r="F86" i="17"/>
  <c r="L86" i="17"/>
  <c r="O86" i="17"/>
  <c r="R86" i="17"/>
  <c r="F87" i="17"/>
  <c r="L87" i="17"/>
  <c r="O87" i="17"/>
  <c r="R87" i="17"/>
  <c r="C9" i="16"/>
  <c r="C10" i="16"/>
  <c r="D10" i="16"/>
  <c r="E10" i="16"/>
  <c r="F10" i="16"/>
  <c r="G10" i="16"/>
  <c r="H11" i="16"/>
  <c r="L11" i="16" s="1"/>
  <c r="L12" i="16" s="1"/>
  <c r="C30" i="16"/>
  <c r="C31" i="16"/>
  <c r="C24" i="16"/>
  <c r="C34" i="16" s="1"/>
  <c r="C25" i="16"/>
  <c r="C36" i="16" s="1"/>
  <c r="C26" i="16"/>
  <c r="C35" i="16" s="1"/>
  <c r="C27" i="16"/>
  <c r="C28" i="16"/>
  <c r="C37" i="16" s="1"/>
  <c r="D30" i="16"/>
  <c r="E30" i="16"/>
  <c r="F30" i="16"/>
  <c r="G30" i="16"/>
  <c r="D31" i="16"/>
  <c r="E31" i="16"/>
  <c r="F31" i="16"/>
  <c r="G31" i="16"/>
  <c r="C32" i="16"/>
  <c r="D32" i="16"/>
  <c r="E32" i="16"/>
  <c r="F32" i="16"/>
  <c r="G32" i="16"/>
  <c r="D33" i="16"/>
  <c r="E33" i="16"/>
  <c r="F33" i="16"/>
  <c r="G33" i="16"/>
  <c r="H33" i="16"/>
  <c r="N33" i="16" s="1"/>
  <c r="D35" i="16"/>
  <c r="E35" i="16"/>
  <c r="F35" i="16"/>
  <c r="G35" i="16"/>
  <c r="D37" i="16"/>
  <c r="E37" i="16"/>
  <c r="F37" i="16"/>
  <c r="G37" i="16"/>
  <c r="G8" i="19"/>
  <c r="G7" i="19" s="1"/>
  <c r="K8" i="19"/>
  <c r="K7" i="19" s="1"/>
  <c r="I9" i="19"/>
  <c r="I14" i="19" s="1"/>
  <c r="J14" i="19" s="1"/>
  <c r="M9" i="19"/>
  <c r="M10" i="19" s="1"/>
  <c r="N10" i="19" s="1"/>
  <c r="F10" i="19"/>
  <c r="G10" i="19"/>
  <c r="H10" i="19" s="1"/>
  <c r="K10" i="19"/>
  <c r="L10" i="19" s="1"/>
  <c r="F11" i="19"/>
  <c r="F12" i="19"/>
  <c r="F13" i="19"/>
  <c r="F14" i="19"/>
  <c r="E15" i="19"/>
  <c r="E18" i="19" s="1"/>
  <c r="F18" i="19" s="1"/>
  <c r="H16" i="19"/>
  <c r="L16" i="19"/>
  <c r="H17" i="19"/>
  <c r="L17" i="19"/>
  <c r="H18" i="19"/>
  <c r="L18" i="19"/>
  <c r="H19" i="19"/>
  <c r="L19" i="19"/>
  <c r="H20" i="19"/>
  <c r="L20" i="19"/>
  <c r="H22" i="19"/>
  <c r="L22" i="19"/>
  <c r="H23" i="19"/>
  <c r="L23" i="19"/>
  <c r="H24" i="19"/>
  <c r="L24" i="19"/>
  <c r="H25" i="19"/>
  <c r="L25" i="19"/>
  <c r="H26" i="19"/>
  <c r="L26" i="19"/>
  <c r="H28" i="19"/>
  <c r="L28" i="19"/>
  <c r="H29" i="19"/>
  <c r="K29" i="19"/>
  <c r="L29" i="19" s="1"/>
  <c r="H30" i="19"/>
  <c r="L30" i="19"/>
  <c r="H31" i="19"/>
  <c r="L31" i="19"/>
  <c r="H32" i="19"/>
  <c r="K32" i="19"/>
  <c r="L32" i="19" s="1"/>
  <c r="E42" i="19"/>
  <c r="F42" i="19" s="1"/>
  <c r="H40" i="19"/>
  <c r="L40" i="19"/>
  <c r="M40" i="19"/>
  <c r="N40" i="19" s="1"/>
  <c r="E41" i="19"/>
  <c r="F41" i="19" s="1"/>
  <c r="H41" i="19"/>
  <c r="L41" i="19"/>
  <c r="M41" i="19"/>
  <c r="N41" i="19" s="1"/>
  <c r="H42" i="19"/>
  <c r="L42" i="19"/>
  <c r="M42" i="19"/>
  <c r="N42" i="19" s="1"/>
  <c r="H43" i="19"/>
  <c r="L43" i="19"/>
  <c r="M43" i="19"/>
  <c r="N43" i="19" s="1"/>
  <c r="H44" i="19"/>
  <c r="L44" i="19"/>
  <c r="M44" i="19"/>
  <c r="N44" i="19" s="1"/>
  <c r="H46" i="19"/>
  <c r="L46" i="19"/>
  <c r="H47" i="19"/>
  <c r="L47" i="19"/>
  <c r="H48" i="19"/>
  <c r="L48" i="19"/>
  <c r="H49" i="19"/>
  <c r="L49" i="19"/>
  <c r="H50" i="19"/>
  <c r="L50" i="19"/>
  <c r="H10" i="2"/>
  <c r="L10" i="2"/>
  <c r="H11" i="2"/>
  <c r="J11" i="2"/>
  <c r="N11" i="2"/>
  <c r="H12" i="2"/>
  <c r="J12" i="2"/>
  <c r="N12" i="2"/>
  <c r="H13" i="2"/>
  <c r="L13" i="2"/>
  <c r="H14" i="2"/>
  <c r="L14" i="2"/>
  <c r="H16" i="2"/>
  <c r="J16" i="2"/>
  <c r="N16" i="2"/>
  <c r="H17" i="2"/>
  <c r="J17" i="2"/>
  <c r="N17" i="2"/>
  <c r="H29" i="2"/>
  <c r="L29" i="2"/>
  <c r="H30" i="2"/>
  <c r="L30" i="2"/>
  <c r="H33" i="2"/>
  <c r="L33" i="2"/>
  <c r="H34" i="2"/>
  <c r="J34" i="2"/>
  <c r="N34" i="2"/>
  <c r="H36" i="2"/>
  <c r="L36" i="2"/>
  <c r="H37" i="2"/>
  <c r="J37" i="2"/>
  <c r="N37" i="2"/>
  <c r="H38" i="2"/>
  <c r="H39" i="2" s="1"/>
  <c r="I39" i="2" s="1"/>
  <c r="J38" i="2"/>
  <c r="N38" i="2"/>
  <c r="L39" i="2"/>
  <c r="H40" i="2"/>
  <c r="L40" i="2"/>
  <c r="H41" i="2"/>
  <c r="L41" i="2"/>
  <c r="H42" i="2"/>
  <c r="J42" i="2"/>
  <c r="N42" i="2"/>
  <c r="H44" i="2"/>
  <c r="L44" i="2"/>
  <c r="H45" i="2"/>
  <c r="J45" i="2"/>
  <c r="N45" i="2"/>
  <c r="H46" i="2"/>
  <c r="J46" i="2"/>
  <c r="N46" i="2"/>
  <c r="H47" i="2"/>
  <c r="L47" i="2"/>
  <c r="H48" i="2"/>
  <c r="L48" i="2"/>
  <c r="H49" i="2"/>
  <c r="L49" i="2"/>
  <c r="H50" i="2"/>
  <c r="J50" i="2"/>
  <c r="N50" i="2"/>
  <c r="H54" i="2"/>
  <c r="L54" i="2"/>
  <c r="H55" i="2"/>
  <c r="L55" i="2"/>
  <c r="H60" i="2"/>
  <c r="J60" i="2"/>
  <c r="N60" i="2"/>
  <c r="H64" i="2"/>
  <c r="L64" i="2"/>
  <c r="H65" i="2"/>
  <c r="L65" i="2"/>
  <c r="H66" i="2"/>
  <c r="L66" i="2"/>
  <c r="H68" i="2"/>
  <c r="J68" i="2"/>
  <c r="L68" i="2"/>
  <c r="H69" i="2"/>
  <c r="J69" i="2"/>
  <c r="L69" i="2"/>
  <c r="H73" i="2"/>
  <c r="L73" i="2"/>
  <c r="H74" i="2"/>
  <c r="L74" i="2"/>
  <c r="H77" i="2"/>
  <c r="L77" i="2"/>
  <c r="H78" i="2"/>
  <c r="L78" i="2"/>
  <c r="H82" i="2"/>
  <c r="L82" i="2"/>
  <c r="H83" i="2"/>
  <c r="L83" i="2"/>
  <c r="H84" i="2"/>
  <c r="L84" i="2"/>
  <c r="H86" i="2"/>
  <c r="J86" i="2"/>
  <c r="L86" i="2"/>
  <c r="H87" i="2"/>
  <c r="J87" i="2"/>
  <c r="L87" i="2"/>
  <c r="H91" i="2"/>
  <c r="L91" i="2"/>
  <c r="H92" i="2"/>
  <c r="L92" i="2"/>
  <c r="H95" i="2"/>
  <c r="L95" i="2"/>
  <c r="H96" i="2"/>
  <c r="J96" i="2"/>
  <c r="I97" i="2"/>
  <c r="I98" i="2" s="1"/>
  <c r="J98" i="2" s="1"/>
  <c r="K97" i="2"/>
  <c r="K103" i="2" s="1"/>
  <c r="L103" i="2" s="1"/>
  <c r="M97" i="2"/>
  <c r="M101" i="2" s="1"/>
  <c r="N101" i="2" s="1"/>
  <c r="E98" i="2"/>
  <c r="F98" i="2" s="1"/>
  <c r="H98" i="2"/>
  <c r="L98" i="2"/>
  <c r="E99" i="2"/>
  <c r="F99" i="2" s="1"/>
  <c r="H99" i="2"/>
  <c r="J99" i="2"/>
  <c r="N99" i="2"/>
  <c r="E100" i="2"/>
  <c r="F100" i="2" s="1"/>
  <c r="H100" i="2"/>
  <c r="J100" i="2"/>
  <c r="N100" i="2"/>
  <c r="E101" i="2"/>
  <c r="F101" i="2" s="1"/>
  <c r="H101" i="2"/>
  <c r="L101" i="2"/>
  <c r="E102" i="2"/>
  <c r="F102" i="2" s="1"/>
  <c r="H102" i="2"/>
  <c r="L102" i="2"/>
  <c r="E103" i="2"/>
  <c r="F103" i="2" s="1"/>
  <c r="G103" i="2"/>
  <c r="H103" i="2" s="1"/>
  <c r="E104" i="2"/>
  <c r="F104" i="2" s="1"/>
  <c r="H104" i="2"/>
  <c r="J104" i="2"/>
  <c r="N104" i="2"/>
  <c r="E105" i="2"/>
  <c r="F105" i="2" s="1"/>
  <c r="H105" i="2"/>
  <c r="J105" i="2"/>
  <c r="N105" i="2"/>
  <c r="H108" i="2"/>
  <c r="L108" i="2"/>
  <c r="H109" i="2"/>
  <c r="L109" i="2"/>
  <c r="H110" i="2"/>
  <c r="L110" i="2"/>
  <c r="H113" i="2"/>
  <c r="L113" i="2"/>
  <c r="H114" i="2"/>
  <c r="J114" i="2"/>
  <c r="L114" i="2"/>
  <c r="N114" i="2"/>
  <c r="H116" i="2"/>
  <c r="L116" i="2"/>
  <c r="H117" i="2"/>
  <c r="J117" i="2"/>
  <c r="N117" i="2"/>
  <c r="H118" i="2"/>
  <c r="J118" i="2"/>
  <c r="N118" i="2"/>
  <c r="H119" i="2"/>
  <c r="L119" i="2"/>
  <c r="H120" i="2"/>
  <c r="L120" i="2"/>
  <c r="H122" i="2"/>
  <c r="J122" i="2"/>
  <c r="N122" i="2"/>
  <c r="H123" i="2"/>
  <c r="J123" i="2"/>
  <c r="N123" i="2"/>
  <c r="E17" i="19" l="1"/>
  <c r="F17" i="19" s="1"/>
  <c r="K100" i="2"/>
  <c r="L100" i="2" s="1"/>
  <c r="L33" i="16"/>
  <c r="P33" i="16"/>
  <c r="H45" i="19"/>
  <c r="L39" i="19"/>
  <c r="C33" i="16"/>
  <c r="O33" i="16" s="1"/>
  <c r="O32" i="6"/>
  <c r="P32" i="6" s="1"/>
  <c r="S95" i="17"/>
  <c r="L21" i="19"/>
  <c r="M12" i="16"/>
  <c r="J33" i="16"/>
  <c r="L92" i="17"/>
  <c r="G70" i="17"/>
  <c r="I70" i="17" s="1"/>
  <c r="I68" i="17" s="1"/>
  <c r="I80" i="17"/>
  <c r="S94" i="17"/>
  <c r="I92" i="17"/>
  <c r="J72" i="17"/>
  <c r="L72" i="17" s="1"/>
  <c r="F79" i="17"/>
  <c r="R80" i="17"/>
  <c r="O80" i="17"/>
  <c r="R84" i="17"/>
  <c r="L80" i="17"/>
  <c r="L78" i="17" s="1"/>
  <c r="J70" i="17"/>
  <c r="L70" i="17" s="1"/>
  <c r="L68" i="17" s="1"/>
  <c r="K59" i="17"/>
  <c r="K6" i="17" s="1"/>
  <c r="I81" i="17"/>
  <c r="I75" i="17"/>
  <c r="I74" i="17" s="1"/>
  <c r="H27" i="19"/>
  <c r="K11" i="19"/>
  <c r="R71" i="17"/>
  <c r="N59" i="17"/>
  <c r="N6" i="17" s="1"/>
  <c r="R60" i="17"/>
  <c r="M60" i="17"/>
  <c r="N24" i="6"/>
  <c r="O24" i="6" s="1"/>
  <c r="K105" i="2"/>
  <c r="L105" i="2" s="1"/>
  <c r="O105" i="2" s="1"/>
  <c r="R81" i="17"/>
  <c r="H59" i="17"/>
  <c r="H6" i="17" s="1"/>
  <c r="J61" i="17"/>
  <c r="J62" i="17" s="1"/>
  <c r="L62" i="17" s="1"/>
  <c r="K104" i="2"/>
  <c r="L104" i="2" s="1"/>
  <c r="O104" i="2" s="1"/>
  <c r="L45" i="19"/>
  <c r="H21" i="19"/>
  <c r="G11" i="19"/>
  <c r="O81" i="17"/>
  <c r="F71" i="17"/>
  <c r="O31" i="6"/>
  <c r="P40" i="6"/>
  <c r="K39" i="6"/>
  <c r="K38" i="6" s="1"/>
  <c r="O37" i="6"/>
  <c r="O36" i="6" s="1"/>
  <c r="M24" i="6"/>
  <c r="O23" i="6"/>
  <c r="E19" i="19"/>
  <c r="F19" i="19" s="1"/>
  <c r="E27" i="19"/>
  <c r="I11" i="19"/>
  <c r="J11" i="19" s="1"/>
  <c r="M13" i="19"/>
  <c r="N13" i="19" s="1"/>
  <c r="E20" i="19"/>
  <c r="E16" i="19"/>
  <c r="F16" i="19" s="1"/>
  <c r="I15" i="19"/>
  <c r="I13" i="19"/>
  <c r="J13" i="19" s="1"/>
  <c r="I10" i="19"/>
  <c r="J10" i="19" s="1"/>
  <c r="I12" i="19"/>
  <c r="J12" i="19" s="1"/>
  <c r="L13" i="16"/>
  <c r="M13" i="16" s="1"/>
  <c r="K99" i="2"/>
  <c r="L99" i="2" s="1"/>
  <c r="O99" i="2" s="1"/>
  <c r="M98" i="2"/>
  <c r="N98" i="2" s="1"/>
  <c r="O98" i="2" s="1"/>
  <c r="N39" i="19"/>
  <c r="I17" i="19"/>
  <c r="J17" i="19" s="1"/>
  <c r="M17" i="19"/>
  <c r="N17" i="19" s="1"/>
  <c r="I102" i="2"/>
  <c r="J102" i="2" s="1"/>
  <c r="O100" i="2"/>
  <c r="O30" i="6"/>
  <c r="P30" i="6" s="1"/>
  <c r="I29" i="6"/>
  <c r="O29" i="6"/>
  <c r="F9" i="19"/>
  <c r="H24" i="16"/>
  <c r="E43" i="19"/>
  <c r="F43" i="19" s="1"/>
  <c r="I39" i="19"/>
  <c r="E23" i="19"/>
  <c r="F23" i="19" s="1"/>
  <c r="M21" i="19"/>
  <c r="E8" i="19"/>
  <c r="E7" i="19" s="1"/>
  <c r="M11" i="19"/>
  <c r="N11" i="19" s="1"/>
  <c r="L14" i="16"/>
  <c r="M14" i="16" s="1"/>
  <c r="J11" i="16"/>
  <c r="J12" i="16" s="1"/>
  <c r="K12" i="16" s="1"/>
  <c r="P11" i="16"/>
  <c r="H14" i="16"/>
  <c r="I14" i="16" s="1"/>
  <c r="H13" i="16"/>
  <c r="I13" i="16" s="1"/>
  <c r="R64" i="17"/>
  <c r="R63" i="17" s="1"/>
  <c r="P31" i="6"/>
  <c r="H35" i="2"/>
  <c r="H15" i="19"/>
  <c r="G86" i="17"/>
  <c r="I86" i="17" s="1"/>
  <c r="S86" i="17" s="1"/>
  <c r="G87" i="17"/>
  <c r="I87" i="17" s="1"/>
  <c r="S87" i="17" s="1"/>
  <c r="O26" i="6"/>
  <c r="I25" i="6"/>
  <c r="O25" i="6"/>
  <c r="K23" i="6"/>
  <c r="J22" i="6"/>
  <c r="L22" i="6"/>
  <c r="H43" i="2"/>
  <c r="E44" i="19"/>
  <c r="F44" i="19" s="1"/>
  <c r="E40" i="19"/>
  <c r="F40" i="19" s="1"/>
  <c r="E26" i="19"/>
  <c r="F26" i="19" s="1"/>
  <c r="E24" i="19"/>
  <c r="F24" i="19" s="1"/>
  <c r="E22" i="19"/>
  <c r="F22" i="19" s="1"/>
  <c r="I21" i="19"/>
  <c r="L15" i="19"/>
  <c r="M14" i="19"/>
  <c r="N14" i="19" s="1"/>
  <c r="M12" i="19"/>
  <c r="N12" i="19" s="1"/>
  <c r="M15" i="19"/>
  <c r="R79" i="17"/>
  <c r="R78" i="17" s="1"/>
  <c r="R74" i="17"/>
  <c r="M75" i="17"/>
  <c r="O75" i="17" s="1"/>
  <c r="O74" i="17" s="1"/>
  <c r="J75" i="17"/>
  <c r="L75" i="17" s="1"/>
  <c r="J76" i="17"/>
  <c r="L76" i="17" s="1"/>
  <c r="S76" i="17" s="1"/>
  <c r="R68" i="17"/>
  <c r="M67" i="17"/>
  <c r="M70" i="17"/>
  <c r="O70" i="17" s="1"/>
  <c r="P41" i="6"/>
  <c r="I78" i="17"/>
  <c r="N30" i="16"/>
  <c r="C43" i="6"/>
  <c r="F43" i="6" s="1"/>
  <c r="H97" i="2"/>
  <c r="H39" i="19"/>
  <c r="L27" i="19"/>
  <c r="H12" i="16"/>
  <c r="I12" i="16" s="1"/>
  <c r="O34" i="6"/>
  <c r="P34" i="6" s="1"/>
  <c r="I33" i="6"/>
  <c r="O33" i="6"/>
  <c r="O27" i="6"/>
  <c r="P27" i="6" s="1"/>
  <c r="I26" i="6"/>
  <c r="O84" i="17"/>
  <c r="L84" i="17"/>
  <c r="F74" i="17"/>
  <c r="F68" i="17"/>
  <c r="F66" i="17" s="1"/>
  <c r="F65" i="17" s="1"/>
  <c r="F64" i="17" s="1"/>
  <c r="G62" i="17"/>
  <c r="I62" i="17" s="1"/>
  <c r="I60" i="17" s="1"/>
  <c r="M38" i="6"/>
  <c r="G38" i="6"/>
  <c r="D77" i="17"/>
  <c r="F97" i="2"/>
  <c r="M102" i="2"/>
  <c r="N102" i="2" s="1"/>
  <c r="I101" i="2"/>
  <c r="J101" i="2" s="1"/>
  <c r="O101" i="2" s="1"/>
  <c r="M103" i="2"/>
  <c r="N103" i="2" s="1"/>
  <c r="I103" i="2"/>
  <c r="J103" i="2" s="1"/>
  <c r="N11" i="16"/>
  <c r="D53" i="17"/>
  <c r="D54" i="17" s="1"/>
  <c r="F54" i="17" s="1"/>
  <c r="G115" i="2"/>
  <c r="H37" i="16"/>
  <c r="E106" i="2"/>
  <c r="G106" i="2" s="1"/>
  <c r="D18" i="17"/>
  <c r="K37" i="6"/>
  <c r="K36" i="6" s="1"/>
  <c r="I38" i="6"/>
  <c r="L38" i="6"/>
  <c r="H38" i="6"/>
  <c r="H36" i="6"/>
  <c r="I37" i="6"/>
  <c r="I36" i="6" s="1"/>
  <c r="L37" i="6"/>
  <c r="J35" i="6"/>
  <c r="G35" i="6"/>
  <c r="L35" i="6"/>
  <c r="F19" i="6"/>
  <c r="G20" i="6"/>
  <c r="N20" i="6"/>
  <c r="S72" i="17"/>
  <c r="L71" i="17"/>
  <c r="G64" i="17"/>
  <c r="M64" i="17"/>
  <c r="F84" i="17"/>
  <c r="D82" i="17"/>
  <c r="J81" i="17"/>
  <c r="J67" i="17"/>
  <c r="Q59" i="17"/>
  <c r="Q6" i="17" s="1"/>
  <c r="G85" i="17"/>
  <c r="I85" i="17" s="1"/>
  <c r="M73" i="17"/>
  <c r="O73" i="17" s="1"/>
  <c r="O71" i="17" s="1"/>
  <c r="I73" i="17"/>
  <c r="M69" i="17"/>
  <c r="O69" i="17" s="1"/>
  <c r="J64" i="17"/>
  <c r="P59" i="17"/>
  <c r="D59" i="17"/>
  <c r="G77" i="17"/>
  <c r="M61" i="17"/>
  <c r="L61" i="17" l="1"/>
  <c r="P77" i="17"/>
  <c r="P24" i="6"/>
  <c r="M77" i="17"/>
  <c r="Q33" i="16"/>
  <c r="M33" i="16"/>
  <c r="S92" i="17"/>
  <c r="F80" i="17"/>
  <c r="S80" i="17" s="1"/>
  <c r="I33" i="16"/>
  <c r="K33" i="16"/>
  <c r="L97" i="2"/>
  <c r="M11" i="16"/>
  <c r="J22" i="17"/>
  <c r="J23" i="17" s="1"/>
  <c r="J25" i="17" s="1"/>
  <c r="L74" i="17"/>
  <c r="L67" i="17" s="1"/>
  <c r="O79" i="17"/>
  <c r="O78" i="17" s="1"/>
  <c r="O77" i="17" s="1"/>
  <c r="S70" i="17"/>
  <c r="R67" i="17"/>
  <c r="R59" i="17" s="1"/>
  <c r="P33" i="6"/>
  <c r="P23" i="6"/>
  <c r="I11" i="16"/>
  <c r="D62" i="17"/>
  <c r="F62" i="17" s="1"/>
  <c r="F61" i="17"/>
  <c r="P26" i="6"/>
  <c r="L11" i="19"/>
  <c r="O11" i="19" s="1"/>
  <c r="K12" i="19"/>
  <c r="R77" i="17"/>
  <c r="J9" i="19"/>
  <c r="H11" i="19"/>
  <c r="G12" i="19"/>
  <c r="J38" i="19"/>
  <c r="O38" i="19" s="1"/>
  <c r="J36" i="19"/>
  <c r="O36" i="19" s="1"/>
  <c r="J37" i="19"/>
  <c r="O37" i="19" s="1"/>
  <c r="J34" i="19"/>
  <c r="J35" i="19"/>
  <c r="O35" i="19" s="1"/>
  <c r="O10" i="19"/>
  <c r="P25" i="6"/>
  <c r="E32" i="19"/>
  <c r="E29" i="19"/>
  <c r="E30" i="19"/>
  <c r="F30" i="19" s="1"/>
  <c r="I27" i="19"/>
  <c r="I8" i="19" s="1"/>
  <c r="M27" i="19"/>
  <c r="M8" i="19" s="1"/>
  <c r="E28" i="19"/>
  <c r="F28" i="19" s="1"/>
  <c r="E31" i="19"/>
  <c r="F31" i="19" s="1"/>
  <c r="I19" i="19"/>
  <c r="J19" i="19" s="1"/>
  <c r="I18" i="19"/>
  <c r="J18" i="19" s="1"/>
  <c r="I16" i="19"/>
  <c r="J16" i="19" s="1"/>
  <c r="I20" i="19"/>
  <c r="J20" i="19" s="1"/>
  <c r="M20" i="19"/>
  <c r="N20" i="19" s="1"/>
  <c r="F20" i="19"/>
  <c r="O17" i="19"/>
  <c r="N9" i="19"/>
  <c r="O103" i="2"/>
  <c r="J14" i="16"/>
  <c r="K14" i="16" s="1"/>
  <c r="J13" i="16"/>
  <c r="K13" i="16" s="1"/>
  <c r="D28" i="17"/>
  <c r="J28" i="17" s="1"/>
  <c r="L28" i="17" s="1"/>
  <c r="M53" i="17"/>
  <c r="M55" i="17" s="1"/>
  <c r="O55" i="17" s="1"/>
  <c r="D55" i="17"/>
  <c r="F55" i="17" s="1"/>
  <c r="F53" i="17" s="1"/>
  <c r="D20" i="17"/>
  <c r="F20" i="17" s="1"/>
  <c r="D19" i="17"/>
  <c r="F19" i="17" s="1"/>
  <c r="D27" i="17"/>
  <c r="F27" i="17" s="1"/>
  <c r="M22" i="17"/>
  <c r="M24" i="17" s="1"/>
  <c r="O24" i="17" s="1"/>
  <c r="G22" i="17"/>
  <c r="G26" i="17" s="1"/>
  <c r="I26" i="17" s="1"/>
  <c r="N43" i="6"/>
  <c r="O43" i="6" s="1"/>
  <c r="G43" i="6"/>
  <c r="H43" i="6"/>
  <c r="I43" i="6" s="1"/>
  <c r="F21" i="19"/>
  <c r="I45" i="19"/>
  <c r="E50" i="19"/>
  <c r="F50" i="19" s="1"/>
  <c r="I50" i="19"/>
  <c r="J50" i="19" s="1"/>
  <c r="M45" i="19"/>
  <c r="M48" i="19"/>
  <c r="N48" i="19" s="1"/>
  <c r="E46" i="19"/>
  <c r="E48" i="19"/>
  <c r="F48" i="19" s="1"/>
  <c r="I48" i="19"/>
  <c r="J48" i="19" s="1"/>
  <c r="M50" i="19"/>
  <c r="N50" i="19" s="1"/>
  <c r="E47" i="19"/>
  <c r="P14" i="16"/>
  <c r="Q14" i="16" s="1"/>
  <c r="P13" i="16"/>
  <c r="Q13" i="16" s="1"/>
  <c r="P12" i="16"/>
  <c r="Q12" i="16" s="1"/>
  <c r="E52" i="2"/>
  <c r="E63" i="2" s="1"/>
  <c r="F63" i="2" s="1"/>
  <c r="J97" i="2"/>
  <c r="M23" i="19"/>
  <c r="N23" i="19" s="1"/>
  <c r="M26" i="19"/>
  <c r="N26" i="19" s="1"/>
  <c r="M24" i="19"/>
  <c r="N24" i="19" s="1"/>
  <c r="M22" i="19"/>
  <c r="N22" i="19" s="1"/>
  <c r="M25" i="19"/>
  <c r="N25" i="19" s="1"/>
  <c r="I43" i="19"/>
  <c r="J43" i="19" s="1"/>
  <c r="O43" i="19" s="1"/>
  <c r="I41" i="19"/>
  <c r="J41" i="19" s="1"/>
  <c r="O41" i="19" s="1"/>
  <c r="I42" i="19"/>
  <c r="J42" i="19" s="1"/>
  <c r="O42" i="19" s="1"/>
  <c r="I40" i="19"/>
  <c r="J40" i="19" s="1"/>
  <c r="O40" i="19" s="1"/>
  <c r="I44" i="19"/>
  <c r="J44" i="19" s="1"/>
  <c r="O44" i="19" s="1"/>
  <c r="O68" i="17"/>
  <c r="O67" i="17" s="1"/>
  <c r="S75" i="17"/>
  <c r="S74" i="17" s="1"/>
  <c r="N97" i="2"/>
  <c r="M16" i="19"/>
  <c r="N16" i="19" s="1"/>
  <c r="M19" i="19"/>
  <c r="N19" i="19" s="1"/>
  <c r="M18" i="19"/>
  <c r="N18" i="19" s="1"/>
  <c r="I25" i="19"/>
  <c r="J25" i="19" s="1"/>
  <c r="I22" i="19"/>
  <c r="J22" i="19" s="1"/>
  <c r="I26" i="19"/>
  <c r="J26" i="19" s="1"/>
  <c r="I24" i="19"/>
  <c r="J24" i="19" s="1"/>
  <c r="I23" i="19"/>
  <c r="J23" i="19" s="1"/>
  <c r="F39" i="19"/>
  <c r="P29" i="6"/>
  <c r="N12" i="16"/>
  <c r="O12" i="16" s="1"/>
  <c r="N13" i="16"/>
  <c r="O13" i="16" s="1"/>
  <c r="N14" i="16"/>
  <c r="O14" i="16" s="1"/>
  <c r="O102" i="2"/>
  <c r="C9" i="6"/>
  <c r="F9" i="6" s="1"/>
  <c r="C11" i="6"/>
  <c r="F11" i="6" s="1"/>
  <c r="C16" i="6"/>
  <c r="F16" i="6" s="1"/>
  <c r="C17" i="6"/>
  <c r="F17" i="6" s="1"/>
  <c r="C12" i="6"/>
  <c r="F12" i="6" s="1"/>
  <c r="C15" i="6"/>
  <c r="F15" i="6" s="1"/>
  <c r="C10" i="6"/>
  <c r="C13" i="6"/>
  <c r="F13" i="6" s="1"/>
  <c r="C18" i="6"/>
  <c r="F18" i="6" s="1"/>
  <c r="D35" i="17"/>
  <c r="H15" i="2"/>
  <c r="H9" i="2" s="1"/>
  <c r="K28" i="16"/>
  <c r="N28" i="16"/>
  <c r="O28" i="16" s="1"/>
  <c r="L28" i="16"/>
  <c r="M28" i="16" s="1"/>
  <c r="P28" i="16"/>
  <c r="Q28" i="16" s="1"/>
  <c r="I28" i="16"/>
  <c r="J18" i="17"/>
  <c r="M18" i="17"/>
  <c r="P18" i="17"/>
  <c r="G18" i="17"/>
  <c r="D21" i="17"/>
  <c r="H35" i="16"/>
  <c r="H26" i="16"/>
  <c r="E110" i="2"/>
  <c r="F110" i="2" s="1"/>
  <c r="E112" i="2"/>
  <c r="F112" i="2" s="1"/>
  <c r="E114" i="2"/>
  <c r="F114" i="2" s="1"/>
  <c r="O114" i="2" s="1"/>
  <c r="I106" i="2"/>
  <c r="E111" i="2"/>
  <c r="F111" i="2" s="1"/>
  <c r="E108" i="2"/>
  <c r="F108" i="2" s="1"/>
  <c r="K106" i="2"/>
  <c r="E107" i="2"/>
  <c r="F107" i="2" s="1"/>
  <c r="E109" i="2"/>
  <c r="F109" i="2" s="1"/>
  <c r="E113" i="2"/>
  <c r="F113" i="2" s="1"/>
  <c r="H30" i="16"/>
  <c r="J25" i="16"/>
  <c r="K25" i="16" s="1"/>
  <c r="N25" i="16"/>
  <c r="O25" i="16" s="1"/>
  <c r="H36" i="16"/>
  <c r="L25" i="16"/>
  <c r="M25" i="16" s="1"/>
  <c r="P25" i="16"/>
  <c r="Q25" i="16" s="1"/>
  <c r="I25" i="16"/>
  <c r="F11" i="2"/>
  <c r="F12" i="2"/>
  <c r="F13" i="2"/>
  <c r="F17" i="2"/>
  <c r="F16" i="2"/>
  <c r="F15" i="2"/>
  <c r="H8" i="16"/>
  <c r="F14" i="2"/>
  <c r="F10" i="2"/>
  <c r="L37" i="16"/>
  <c r="M37" i="16" s="1"/>
  <c r="P37" i="16"/>
  <c r="Q37" i="16" s="1"/>
  <c r="I37" i="16"/>
  <c r="J37" i="16"/>
  <c r="K37" i="16" s="1"/>
  <c r="N37" i="16"/>
  <c r="O37" i="16" s="1"/>
  <c r="J43" i="6"/>
  <c r="J24" i="16"/>
  <c r="K24" i="16" s="1"/>
  <c r="N24" i="16"/>
  <c r="O24" i="16" s="1"/>
  <c r="H34" i="16"/>
  <c r="L24" i="16"/>
  <c r="M24" i="16" s="1"/>
  <c r="P24" i="16"/>
  <c r="Q24" i="16" s="1"/>
  <c r="I24" i="16"/>
  <c r="E90" i="2"/>
  <c r="F90" i="2" s="1"/>
  <c r="E94" i="2"/>
  <c r="E95" i="2"/>
  <c r="K89" i="2"/>
  <c r="E91" i="2"/>
  <c r="M89" i="2"/>
  <c r="H90" i="2"/>
  <c r="E51" i="2"/>
  <c r="H27" i="16"/>
  <c r="E120" i="2"/>
  <c r="F120" i="2" s="1"/>
  <c r="E122" i="2"/>
  <c r="F122" i="2" s="1"/>
  <c r="E123" i="2"/>
  <c r="F123" i="2" s="1"/>
  <c r="K115" i="2"/>
  <c r="E121" i="2"/>
  <c r="F121" i="2" s="1"/>
  <c r="E116" i="2"/>
  <c r="F116" i="2" s="1"/>
  <c r="I115" i="2"/>
  <c r="M115" i="2"/>
  <c r="E117" i="2"/>
  <c r="F117" i="2" s="1"/>
  <c r="E118" i="2"/>
  <c r="F118" i="2" s="1"/>
  <c r="E119" i="2"/>
  <c r="F119" i="2" s="1"/>
  <c r="G53" i="17"/>
  <c r="J53" i="17"/>
  <c r="P53" i="17"/>
  <c r="F44" i="6"/>
  <c r="L43" i="6"/>
  <c r="M43" i="6" s="1"/>
  <c r="P22" i="17"/>
  <c r="D26" i="17"/>
  <c r="F26" i="17" s="1"/>
  <c r="D24" i="17"/>
  <c r="F24" i="17" s="1"/>
  <c r="O30" i="16"/>
  <c r="P30" i="16"/>
  <c r="N31" i="16"/>
  <c r="O31" i="16" s="1"/>
  <c r="N32" i="16"/>
  <c r="O32" i="16" s="1"/>
  <c r="F45" i="6"/>
  <c r="N38" i="6"/>
  <c r="O39" i="6"/>
  <c r="L36" i="6"/>
  <c r="L21" i="6" s="1"/>
  <c r="M37" i="6"/>
  <c r="M35" i="6"/>
  <c r="M22" i="6" s="1"/>
  <c r="J21" i="6"/>
  <c r="K35" i="6"/>
  <c r="K22" i="6" s="1"/>
  <c r="K21" i="6" s="1"/>
  <c r="O35" i="6"/>
  <c r="G28" i="6"/>
  <c r="F22" i="6"/>
  <c r="F21" i="6" s="1"/>
  <c r="H28" i="6"/>
  <c r="G19" i="6"/>
  <c r="N19" i="6"/>
  <c r="O20" i="6"/>
  <c r="O19" i="6" s="1"/>
  <c r="I84" i="17"/>
  <c r="I77" i="17" s="1"/>
  <c r="S85" i="17"/>
  <c r="S84" i="17" s="1"/>
  <c r="J24" i="17"/>
  <c r="L24" i="17" s="1"/>
  <c r="F63" i="17"/>
  <c r="S73" i="17"/>
  <c r="S71" i="17" s="1"/>
  <c r="J82" i="17"/>
  <c r="J77" i="17"/>
  <c r="M66" i="17"/>
  <c r="O66" i="17" s="1"/>
  <c r="M65" i="17"/>
  <c r="O65" i="17" s="1"/>
  <c r="M63" i="17"/>
  <c r="M59" i="17" s="1"/>
  <c r="L60" i="17"/>
  <c r="O61" i="17"/>
  <c r="M62" i="17"/>
  <c r="O62" i="17" s="1"/>
  <c r="S62" i="17" s="1"/>
  <c r="J63" i="17"/>
  <c r="J59" i="17" s="1"/>
  <c r="J65" i="17"/>
  <c r="L65" i="17" s="1"/>
  <c r="J66" i="17"/>
  <c r="L66" i="17" s="1"/>
  <c r="F82" i="17"/>
  <c r="D83" i="17"/>
  <c r="F83" i="17" s="1"/>
  <c r="G66" i="17"/>
  <c r="I66" i="17" s="1"/>
  <c r="G63" i="17"/>
  <c r="G59" i="17" s="1"/>
  <c r="G65" i="17"/>
  <c r="I65" i="17" s="1"/>
  <c r="S69" i="17"/>
  <c r="I71" i="17"/>
  <c r="I67" i="17" s="1"/>
  <c r="S68" i="17" l="1"/>
  <c r="F78" i="17"/>
  <c r="F28" i="17"/>
  <c r="R33" i="16"/>
  <c r="P28" i="17"/>
  <c r="R28" i="17" s="1"/>
  <c r="S61" i="17"/>
  <c r="J26" i="17"/>
  <c r="L26" i="17" s="1"/>
  <c r="R12" i="16"/>
  <c r="H9" i="16"/>
  <c r="I9" i="16" s="1"/>
  <c r="H7" i="16"/>
  <c r="K11" i="16"/>
  <c r="R14" i="16"/>
  <c r="S79" i="17"/>
  <c r="S78" i="17" s="1"/>
  <c r="F60" i="17"/>
  <c r="F59" i="17" s="1"/>
  <c r="D91" i="17"/>
  <c r="F91" i="17" s="1"/>
  <c r="G91" i="17"/>
  <c r="I91" i="17" s="1"/>
  <c r="I89" i="17" s="1"/>
  <c r="I88" i="17" s="1"/>
  <c r="P89" i="17"/>
  <c r="J89" i="17"/>
  <c r="M91" i="17" s="1"/>
  <c r="O91" i="17" s="1"/>
  <c r="O89" i="17" s="1"/>
  <c r="O88" i="17" s="1"/>
  <c r="G89" i="17"/>
  <c r="J91" i="17" s="1"/>
  <c r="L91" i="17" s="1"/>
  <c r="L89" i="17" s="1"/>
  <c r="L88" i="17" s="1"/>
  <c r="M89" i="17"/>
  <c r="P91" i="17" s="1"/>
  <c r="R91" i="17" s="1"/>
  <c r="R89" i="17" s="1"/>
  <c r="R88" i="17" s="1"/>
  <c r="G28" i="17"/>
  <c r="I28" i="17" s="1"/>
  <c r="M106" i="2"/>
  <c r="M108" i="2" s="1"/>
  <c r="N108" i="2" s="1"/>
  <c r="M54" i="17"/>
  <c r="O54" i="17" s="1"/>
  <c r="O53" i="17" s="1"/>
  <c r="G51" i="2"/>
  <c r="I51" i="2" s="1"/>
  <c r="K51" i="2" s="1"/>
  <c r="M51" i="2" s="1"/>
  <c r="E54" i="2"/>
  <c r="F54" i="2" s="1"/>
  <c r="E71" i="2"/>
  <c r="G71" i="2" s="1"/>
  <c r="H12" i="19"/>
  <c r="G13" i="19"/>
  <c r="K13" i="19"/>
  <c r="L12" i="19"/>
  <c r="S66" i="17"/>
  <c r="O97" i="2"/>
  <c r="J33" i="19"/>
  <c r="O34" i="19"/>
  <c r="O33" i="19" s="1"/>
  <c r="O18" i="19"/>
  <c r="J15" i="19"/>
  <c r="O19" i="19"/>
  <c r="I7" i="19"/>
  <c r="M31" i="19"/>
  <c r="N31" i="19" s="1"/>
  <c r="M30" i="19"/>
  <c r="N30" i="19" s="1"/>
  <c r="M28" i="19"/>
  <c r="N28" i="19" s="1"/>
  <c r="I28" i="19"/>
  <c r="I30" i="19"/>
  <c r="J30" i="19" s="1"/>
  <c r="I31" i="19"/>
  <c r="J31" i="19" s="1"/>
  <c r="O24" i="19"/>
  <c r="F29" i="19"/>
  <c r="M29" i="19"/>
  <c r="N29" i="19" s="1"/>
  <c r="F32" i="19"/>
  <c r="M32" i="19"/>
  <c r="N32" i="19" s="1"/>
  <c r="I32" i="19"/>
  <c r="J32" i="19" s="1"/>
  <c r="O20" i="19"/>
  <c r="F15" i="19"/>
  <c r="O26" i="19"/>
  <c r="O23" i="19"/>
  <c r="G24" i="17"/>
  <c r="I24" i="17" s="1"/>
  <c r="M28" i="17"/>
  <c r="O28" i="17" s="1"/>
  <c r="M23" i="17"/>
  <c r="F23" i="17"/>
  <c r="F22" i="17" s="1"/>
  <c r="M26" i="17"/>
  <c r="O26" i="17" s="1"/>
  <c r="E57" i="2"/>
  <c r="F57" i="2" s="1"/>
  <c r="E56" i="2"/>
  <c r="F56" i="2" s="1"/>
  <c r="E59" i="2"/>
  <c r="F59" i="2" s="1"/>
  <c r="E70" i="2"/>
  <c r="F70" i="2" s="1"/>
  <c r="K52" i="2"/>
  <c r="K59" i="2" s="1"/>
  <c r="L59" i="2" s="1"/>
  <c r="G19" i="17"/>
  <c r="I19" i="17" s="1"/>
  <c r="G20" i="17"/>
  <c r="I20" i="17" s="1"/>
  <c r="J20" i="17"/>
  <c r="L20" i="17" s="1"/>
  <c r="J19" i="17"/>
  <c r="L19" i="17" s="1"/>
  <c r="I52" i="2"/>
  <c r="I70" i="2" s="1"/>
  <c r="J70" i="2" s="1"/>
  <c r="E69" i="2"/>
  <c r="F69" i="2" s="1"/>
  <c r="E53" i="2"/>
  <c r="F53" i="2" s="1"/>
  <c r="P20" i="17"/>
  <c r="R20" i="17" s="1"/>
  <c r="P19" i="17"/>
  <c r="R19" i="17" s="1"/>
  <c r="G23" i="17"/>
  <c r="E65" i="2"/>
  <c r="F65" i="2" s="1"/>
  <c r="E60" i="2"/>
  <c r="F60" i="2" s="1"/>
  <c r="E62" i="2"/>
  <c r="F62" i="2" s="1"/>
  <c r="M19" i="17"/>
  <c r="O19" i="17" s="1"/>
  <c r="M20" i="17"/>
  <c r="O20" i="17" s="1"/>
  <c r="O39" i="19"/>
  <c r="F42" i="6"/>
  <c r="J39" i="19"/>
  <c r="O48" i="19"/>
  <c r="E58" i="2"/>
  <c r="F58" i="2" s="1"/>
  <c r="E67" i="2"/>
  <c r="F67" i="2" s="1"/>
  <c r="M52" i="2"/>
  <c r="M53" i="2" s="1"/>
  <c r="N53" i="2" s="1"/>
  <c r="E68" i="2"/>
  <c r="F68" i="2" s="1"/>
  <c r="E55" i="2"/>
  <c r="F55" i="2" s="1"/>
  <c r="R13" i="16"/>
  <c r="J21" i="19"/>
  <c r="N15" i="19"/>
  <c r="O16" i="19"/>
  <c r="N21" i="19"/>
  <c r="F47" i="19"/>
  <c r="M47" i="19"/>
  <c r="N47" i="19" s="1"/>
  <c r="I47" i="19"/>
  <c r="J47" i="19" s="1"/>
  <c r="F46" i="19"/>
  <c r="E49" i="19"/>
  <c r="M46" i="19"/>
  <c r="N46" i="19" s="1"/>
  <c r="I46" i="19"/>
  <c r="J46" i="19" s="1"/>
  <c r="O50" i="19"/>
  <c r="O22" i="19"/>
  <c r="I64" i="17"/>
  <c r="I63" i="17" s="1"/>
  <c r="I59" i="17" s="1"/>
  <c r="O64" i="17"/>
  <c r="O63" i="17" s="1"/>
  <c r="E64" i="2"/>
  <c r="F64" i="2" s="1"/>
  <c r="E61" i="2"/>
  <c r="F61" i="2" s="1"/>
  <c r="G52" i="2"/>
  <c r="G59" i="2" s="1"/>
  <c r="H59" i="2" s="1"/>
  <c r="E66" i="2"/>
  <c r="F66" i="2" s="1"/>
  <c r="O25" i="19"/>
  <c r="M7" i="19"/>
  <c r="Q11" i="16"/>
  <c r="H15" i="16"/>
  <c r="O11" i="16"/>
  <c r="G32" i="17"/>
  <c r="J32" i="17"/>
  <c r="P32" i="17"/>
  <c r="D34" i="17"/>
  <c r="F34" i="17" s="1"/>
  <c r="D33" i="17"/>
  <c r="F33" i="17" s="1"/>
  <c r="M32" i="17"/>
  <c r="P55" i="17"/>
  <c r="R55" i="17" s="1"/>
  <c r="P54" i="17"/>
  <c r="R54" i="17" s="1"/>
  <c r="M116" i="2"/>
  <c r="N116" i="2" s="1"/>
  <c r="M119" i="2"/>
  <c r="N119" i="2" s="1"/>
  <c r="M121" i="2"/>
  <c r="N121" i="2" s="1"/>
  <c r="M120" i="2"/>
  <c r="N120" i="2" s="1"/>
  <c r="K122" i="2"/>
  <c r="L122" i="2" s="1"/>
  <c r="O122" i="2" s="1"/>
  <c r="K123" i="2"/>
  <c r="L123" i="2" s="1"/>
  <c r="O123" i="2" s="1"/>
  <c r="K117" i="2"/>
  <c r="L117" i="2" s="1"/>
  <c r="K118" i="2"/>
  <c r="L118" i="2" s="1"/>
  <c r="O118" i="2" s="1"/>
  <c r="K121" i="2"/>
  <c r="L121" i="2" s="1"/>
  <c r="M90" i="2"/>
  <c r="N90" i="2" s="1"/>
  <c r="M94" i="2"/>
  <c r="N94" i="2" s="1"/>
  <c r="M92" i="2"/>
  <c r="N92" i="2" s="1"/>
  <c r="M93" i="2"/>
  <c r="N93" i="2" s="1"/>
  <c r="M95" i="2"/>
  <c r="N95" i="2" s="1"/>
  <c r="M96" i="2"/>
  <c r="N96" i="2" s="1"/>
  <c r="M91" i="2"/>
  <c r="N91" i="2" s="1"/>
  <c r="F95" i="2"/>
  <c r="E96" i="2"/>
  <c r="F96" i="2" s="1"/>
  <c r="R24" i="16"/>
  <c r="R37" i="16"/>
  <c r="G11" i="17"/>
  <c r="J11" i="17"/>
  <c r="P11" i="17"/>
  <c r="D12" i="17"/>
  <c r="F12" i="17" s="1"/>
  <c r="M11" i="17"/>
  <c r="D13" i="17"/>
  <c r="F13" i="17" s="1"/>
  <c r="H32" i="16"/>
  <c r="F106" i="2"/>
  <c r="R28" i="16"/>
  <c r="D36" i="17"/>
  <c r="F36" i="17" s="1"/>
  <c r="G35" i="17"/>
  <c r="D37" i="17"/>
  <c r="F37" i="17" s="1"/>
  <c r="J35" i="17"/>
  <c r="P35" i="17"/>
  <c r="M35" i="17"/>
  <c r="G13" i="6"/>
  <c r="J13" i="6"/>
  <c r="K13" i="6" s="1"/>
  <c r="H13" i="6"/>
  <c r="I13" i="6" s="1"/>
  <c r="H17" i="6"/>
  <c r="I17" i="6" s="1"/>
  <c r="G17" i="6"/>
  <c r="J17" i="6"/>
  <c r="K17" i="6" s="1"/>
  <c r="P31" i="16"/>
  <c r="Q31" i="16" s="1"/>
  <c r="P32" i="16"/>
  <c r="Q32" i="16" s="1"/>
  <c r="Q30" i="16"/>
  <c r="P23" i="17"/>
  <c r="P25" i="17" s="1"/>
  <c r="P24" i="17"/>
  <c r="R24" i="17" s="1"/>
  <c r="P26" i="17"/>
  <c r="R26" i="17" s="1"/>
  <c r="L11" i="2"/>
  <c r="O11" i="2" s="1"/>
  <c r="L12" i="2"/>
  <c r="O12" i="2" s="1"/>
  <c r="L15" i="2"/>
  <c r="L16" i="2"/>
  <c r="O16" i="2" s="1"/>
  <c r="L17" i="2"/>
  <c r="O17" i="2" s="1"/>
  <c r="J55" i="17"/>
  <c r="L55" i="17" s="1"/>
  <c r="J54" i="17"/>
  <c r="L54" i="17" s="1"/>
  <c r="I116" i="2"/>
  <c r="J116" i="2" s="1"/>
  <c r="I121" i="2"/>
  <c r="J121" i="2" s="1"/>
  <c r="I119" i="2"/>
  <c r="J119" i="2" s="1"/>
  <c r="I120" i="2"/>
  <c r="J120" i="2" s="1"/>
  <c r="G121" i="2"/>
  <c r="H121" i="2" s="1"/>
  <c r="H115" i="2" s="1"/>
  <c r="I90" i="2"/>
  <c r="J90" i="2" s="1"/>
  <c r="I94" i="2"/>
  <c r="J94" i="2" s="1"/>
  <c r="I91" i="2"/>
  <c r="J91" i="2" s="1"/>
  <c r="I92" i="2"/>
  <c r="J92" i="2" s="1"/>
  <c r="I93" i="2"/>
  <c r="J93" i="2" s="1"/>
  <c r="I95" i="2"/>
  <c r="J95" i="2" s="1"/>
  <c r="D56" i="17"/>
  <c r="E22" i="2"/>
  <c r="F22" i="2" s="1"/>
  <c r="E21" i="2"/>
  <c r="F21" i="2" s="1"/>
  <c r="E25" i="2"/>
  <c r="F25" i="2" s="1"/>
  <c r="E20" i="2"/>
  <c r="F20" i="2" s="1"/>
  <c r="E24" i="2"/>
  <c r="F24" i="2" s="1"/>
  <c r="E19" i="2"/>
  <c r="L36" i="16"/>
  <c r="M36" i="16" s="1"/>
  <c r="P36" i="16"/>
  <c r="Q36" i="16" s="1"/>
  <c r="I36" i="16"/>
  <c r="J36" i="16"/>
  <c r="K36" i="16" s="1"/>
  <c r="N36" i="16"/>
  <c r="O36" i="16" s="1"/>
  <c r="H31" i="16"/>
  <c r="K107" i="2"/>
  <c r="L107" i="2" s="1"/>
  <c r="K112" i="2"/>
  <c r="L112" i="2" s="1"/>
  <c r="K111" i="2"/>
  <c r="L111" i="2" s="1"/>
  <c r="I112" i="2"/>
  <c r="J112" i="2" s="1"/>
  <c r="I108" i="2"/>
  <c r="J108" i="2" s="1"/>
  <c r="I111" i="2"/>
  <c r="J111" i="2" s="1"/>
  <c r="I109" i="2"/>
  <c r="J109" i="2" s="1"/>
  <c r="I113" i="2"/>
  <c r="J113" i="2" s="1"/>
  <c r="I107" i="2"/>
  <c r="J107" i="2" s="1"/>
  <c r="I110" i="2"/>
  <c r="J110" i="2" s="1"/>
  <c r="J26" i="16"/>
  <c r="K26" i="16" s="1"/>
  <c r="N26" i="16"/>
  <c r="O26" i="16" s="1"/>
  <c r="L26" i="16"/>
  <c r="M26" i="16" s="1"/>
  <c r="P26" i="16"/>
  <c r="Q26" i="16" s="1"/>
  <c r="I26" i="16"/>
  <c r="F10" i="6"/>
  <c r="G10" i="6" s="1"/>
  <c r="J10" i="6"/>
  <c r="K10" i="6" s="1"/>
  <c r="C14" i="6"/>
  <c r="H10" i="6"/>
  <c r="I10" i="6" s="1"/>
  <c r="G16" i="6"/>
  <c r="J16" i="6"/>
  <c r="K16" i="6" s="1"/>
  <c r="H16" i="6"/>
  <c r="I16" i="6" s="1"/>
  <c r="L45" i="6"/>
  <c r="M45" i="6" s="1"/>
  <c r="G45" i="6"/>
  <c r="N45" i="6"/>
  <c r="O45" i="6" s="1"/>
  <c r="H45" i="6"/>
  <c r="I45" i="6" s="1"/>
  <c r="J45" i="6"/>
  <c r="K45" i="6" s="1"/>
  <c r="G55" i="17"/>
  <c r="I55" i="17" s="1"/>
  <c r="G54" i="17"/>
  <c r="I54" i="17" s="1"/>
  <c r="F115" i="2"/>
  <c r="J27" i="16"/>
  <c r="K27" i="16" s="1"/>
  <c r="N27" i="16"/>
  <c r="O27" i="16" s="1"/>
  <c r="L27" i="16"/>
  <c r="M27" i="16" s="1"/>
  <c r="P27" i="16"/>
  <c r="Q27" i="16" s="1"/>
  <c r="I27" i="16"/>
  <c r="G58" i="2"/>
  <c r="H58" i="2" s="1"/>
  <c r="G56" i="2"/>
  <c r="H56" i="2" s="1"/>
  <c r="F91" i="2"/>
  <c r="E92" i="2"/>
  <c r="F94" i="2"/>
  <c r="H94" i="2"/>
  <c r="L8" i="16"/>
  <c r="L7" i="16" s="1"/>
  <c r="J8" i="16"/>
  <c r="J7" i="16" s="1"/>
  <c r="P8" i="16"/>
  <c r="P7" i="16" s="1"/>
  <c r="N8" i="16"/>
  <c r="N7" i="16" s="1"/>
  <c r="R25" i="16"/>
  <c r="G107" i="2"/>
  <c r="H107" i="2" s="1"/>
  <c r="G112" i="2"/>
  <c r="H112" i="2" s="1"/>
  <c r="G111" i="2"/>
  <c r="H111" i="2" s="1"/>
  <c r="L35" i="16"/>
  <c r="M35" i="16" s="1"/>
  <c r="P35" i="16"/>
  <c r="Q35" i="16" s="1"/>
  <c r="I35" i="16"/>
  <c r="J35" i="16"/>
  <c r="K35" i="16" s="1"/>
  <c r="N35" i="16"/>
  <c r="O35" i="16" s="1"/>
  <c r="H15" i="6"/>
  <c r="I15" i="6" s="1"/>
  <c r="G15" i="6"/>
  <c r="J15" i="6"/>
  <c r="K15" i="6" s="1"/>
  <c r="G11" i="6"/>
  <c r="J11" i="6"/>
  <c r="K11" i="6" s="1"/>
  <c r="H11" i="6"/>
  <c r="I11" i="6" s="1"/>
  <c r="E48" i="2"/>
  <c r="E46" i="2"/>
  <c r="E49" i="2"/>
  <c r="F49" i="2" s="1"/>
  <c r="E44" i="2"/>
  <c r="E45" i="2"/>
  <c r="F45" i="2" s="1"/>
  <c r="E47" i="2"/>
  <c r="F47" i="2" s="1"/>
  <c r="E50" i="2"/>
  <c r="F50" i="2" s="1"/>
  <c r="J10" i="2"/>
  <c r="J13" i="2"/>
  <c r="J14" i="2"/>
  <c r="J15" i="2"/>
  <c r="G44" i="6"/>
  <c r="N44" i="6"/>
  <c r="H44" i="6"/>
  <c r="J44" i="6"/>
  <c r="K44" i="6" s="1"/>
  <c r="L44" i="6"/>
  <c r="K96" i="2"/>
  <c r="L96" i="2" s="1"/>
  <c r="K93" i="2"/>
  <c r="L93" i="2" s="1"/>
  <c r="K94" i="2"/>
  <c r="L94" i="2" s="1"/>
  <c r="K90" i="2"/>
  <c r="L90" i="2" s="1"/>
  <c r="L34" i="16"/>
  <c r="M34" i="16" s="1"/>
  <c r="P34" i="16"/>
  <c r="Q34" i="16" s="1"/>
  <c r="I34" i="16"/>
  <c r="J34" i="16"/>
  <c r="K34" i="16" s="1"/>
  <c r="N34" i="16"/>
  <c r="O34" i="16" s="1"/>
  <c r="K43" i="6"/>
  <c r="P43" i="6" s="1"/>
  <c r="F9" i="2"/>
  <c r="L30" i="16"/>
  <c r="I30" i="16"/>
  <c r="J30" i="16"/>
  <c r="F21" i="17"/>
  <c r="G21" i="17"/>
  <c r="I21" i="17" s="1"/>
  <c r="J21" i="17"/>
  <c r="L21" i="17" s="1"/>
  <c r="P21" i="17"/>
  <c r="R21" i="17" s="1"/>
  <c r="M21" i="17"/>
  <c r="O21" i="17" s="1"/>
  <c r="N13" i="2"/>
  <c r="N14" i="2"/>
  <c r="N10" i="2"/>
  <c r="N15" i="2"/>
  <c r="G18" i="6"/>
  <c r="J18" i="6"/>
  <c r="K18" i="6" s="1"/>
  <c r="H18" i="6"/>
  <c r="I18" i="6" s="1"/>
  <c r="H12" i="6"/>
  <c r="I12" i="6" s="1"/>
  <c r="G12" i="6"/>
  <c r="J12" i="6"/>
  <c r="K12" i="6" s="1"/>
  <c r="J9" i="6"/>
  <c r="H9" i="6"/>
  <c r="O38" i="6"/>
  <c r="P39" i="6"/>
  <c r="P38" i="6" s="1"/>
  <c r="M36" i="6"/>
  <c r="M21" i="6" s="1"/>
  <c r="P37" i="6"/>
  <c r="P36" i="6" s="1"/>
  <c r="H22" i="6"/>
  <c r="H21" i="6" s="1"/>
  <c r="I28" i="6"/>
  <c r="I22" i="6" s="1"/>
  <c r="I21" i="6" s="1"/>
  <c r="N28" i="6"/>
  <c r="G22" i="6"/>
  <c r="G21" i="6" s="1"/>
  <c r="P35" i="6"/>
  <c r="P20" i="6"/>
  <c r="P19" i="6" s="1"/>
  <c r="S67" i="17"/>
  <c r="O60" i="17"/>
  <c r="S65" i="17"/>
  <c r="L64" i="17"/>
  <c r="L63" i="17" s="1"/>
  <c r="L59" i="17" s="1"/>
  <c r="L23" i="17"/>
  <c r="J27" i="17"/>
  <c r="L27" i="17" s="1"/>
  <c r="F81" i="17"/>
  <c r="F77" i="17" s="1"/>
  <c r="S60" i="17"/>
  <c r="L82" i="17"/>
  <c r="J83" i="17"/>
  <c r="L83" i="17" s="1"/>
  <c r="S83" i="17" s="1"/>
  <c r="K56" i="2" l="1"/>
  <c r="L56" i="2" s="1"/>
  <c r="I23" i="17"/>
  <c r="G25" i="17"/>
  <c r="M27" i="17"/>
  <c r="O27" i="17" s="1"/>
  <c r="M25" i="17"/>
  <c r="I56" i="2"/>
  <c r="J56" i="2" s="1"/>
  <c r="O59" i="17"/>
  <c r="I62" i="2"/>
  <c r="J62" i="2" s="1"/>
  <c r="I63" i="2"/>
  <c r="J63" i="2" s="1"/>
  <c r="I54" i="2"/>
  <c r="J54" i="2" s="1"/>
  <c r="I67" i="2"/>
  <c r="J67" i="2" s="1"/>
  <c r="I61" i="2"/>
  <c r="J61" i="2" s="1"/>
  <c r="L9" i="16"/>
  <c r="M9" i="16" s="1"/>
  <c r="N9" i="16"/>
  <c r="O9" i="16" s="1"/>
  <c r="H10" i="16"/>
  <c r="J10" i="16" s="1"/>
  <c r="K10" i="16" s="1"/>
  <c r="J9" i="16"/>
  <c r="K9" i="16" s="1"/>
  <c r="P9" i="16"/>
  <c r="Q9" i="16" s="1"/>
  <c r="O12" i="19"/>
  <c r="M113" i="2"/>
  <c r="N113" i="2" s="1"/>
  <c r="I57" i="2"/>
  <c r="J57" i="2" s="1"/>
  <c r="I66" i="2"/>
  <c r="J66" i="2" s="1"/>
  <c r="R18" i="17"/>
  <c r="I18" i="17"/>
  <c r="H29" i="16"/>
  <c r="H6" i="16" s="1"/>
  <c r="E79" i="2"/>
  <c r="F79" i="2" s="1"/>
  <c r="E72" i="2"/>
  <c r="F72" i="2" s="1"/>
  <c r="E84" i="2"/>
  <c r="F84" i="2" s="1"/>
  <c r="E74" i="2"/>
  <c r="F74" i="2" s="1"/>
  <c r="E75" i="2"/>
  <c r="F75" i="2" s="1"/>
  <c r="E81" i="2"/>
  <c r="F81" i="2" s="1"/>
  <c r="E86" i="2"/>
  <c r="F86" i="2" s="1"/>
  <c r="M71" i="2"/>
  <c r="M84" i="2" s="1"/>
  <c r="N84" i="2" s="1"/>
  <c r="E77" i="2"/>
  <c r="F77" i="2" s="1"/>
  <c r="E85" i="2"/>
  <c r="F85" i="2" s="1"/>
  <c r="I71" i="2"/>
  <c r="E73" i="2"/>
  <c r="F73" i="2" s="1"/>
  <c r="E87" i="2"/>
  <c r="F87" i="2" s="1"/>
  <c r="E80" i="2"/>
  <c r="F80" i="2" s="1"/>
  <c r="K71" i="2"/>
  <c r="K72" i="2" s="1"/>
  <c r="L72" i="2" s="1"/>
  <c r="M58" i="2"/>
  <c r="N58" i="2" s="1"/>
  <c r="E83" i="2"/>
  <c r="F83" i="2" s="1"/>
  <c r="E78" i="2"/>
  <c r="F78" i="2" s="1"/>
  <c r="E82" i="2"/>
  <c r="F82" i="2" s="1"/>
  <c r="E88" i="2"/>
  <c r="F88" i="2" s="1"/>
  <c r="E76" i="2"/>
  <c r="F76" i="2" s="1"/>
  <c r="M111" i="2"/>
  <c r="N111" i="2" s="1"/>
  <c r="O111" i="2" s="1"/>
  <c r="M109" i="2"/>
  <c r="N109" i="2" s="1"/>
  <c r="O109" i="2" s="1"/>
  <c r="O30" i="19"/>
  <c r="R11" i="16"/>
  <c r="K53" i="2"/>
  <c r="L53" i="2" s="1"/>
  <c r="K63" i="2"/>
  <c r="L63" i="2" s="1"/>
  <c r="M110" i="2"/>
  <c r="N110" i="2" s="1"/>
  <c r="O110" i="2" s="1"/>
  <c r="O116" i="2"/>
  <c r="O108" i="2"/>
  <c r="O113" i="2"/>
  <c r="M107" i="2"/>
  <c r="N107" i="2" s="1"/>
  <c r="O107" i="2" s="1"/>
  <c r="M112" i="2"/>
  <c r="N112" i="2" s="1"/>
  <c r="O112" i="2" s="1"/>
  <c r="S28" i="17"/>
  <c r="F89" i="17"/>
  <c r="F88" i="17" s="1"/>
  <c r="S91" i="17"/>
  <c r="S89" i="17" s="1"/>
  <c r="S88" i="17" s="1"/>
  <c r="S64" i="17"/>
  <c r="S63" i="17" s="1"/>
  <c r="S59" i="17" s="1"/>
  <c r="O18" i="17"/>
  <c r="H13" i="19"/>
  <c r="G14" i="19"/>
  <c r="H14" i="19" s="1"/>
  <c r="K70" i="2"/>
  <c r="L70" i="2" s="1"/>
  <c r="K60" i="2"/>
  <c r="L60" i="2" s="1"/>
  <c r="O60" i="2" s="1"/>
  <c r="G70" i="2"/>
  <c r="H70" i="2" s="1"/>
  <c r="G53" i="2"/>
  <c r="H53" i="2" s="1"/>
  <c r="O15" i="19"/>
  <c r="K67" i="2"/>
  <c r="L67" i="2" s="1"/>
  <c r="K62" i="2"/>
  <c r="L62" i="2" s="1"/>
  <c r="K58" i="2"/>
  <c r="L58" i="2" s="1"/>
  <c r="G62" i="2"/>
  <c r="H62" i="2" s="1"/>
  <c r="K61" i="2"/>
  <c r="L61" i="2" s="1"/>
  <c r="K57" i="2"/>
  <c r="L57" i="2" s="1"/>
  <c r="G67" i="2"/>
  <c r="H67" i="2" s="1"/>
  <c r="G63" i="2"/>
  <c r="H63" i="2" s="1"/>
  <c r="O31" i="19"/>
  <c r="K14" i="19"/>
  <c r="L14" i="19" s="1"/>
  <c r="L13" i="19"/>
  <c r="O91" i="2"/>
  <c r="O23" i="17"/>
  <c r="O22" i="17" s="1"/>
  <c r="S24" i="17"/>
  <c r="I29" i="19"/>
  <c r="J29" i="19" s="1"/>
  <c r="O29" i="19" s="1"/>
  <c r="J28" i="19"/>
  <c r="N27" i="19"/>
  <c r="N8" i="19" s="1"/>
  <c r="O32" i="19"/>
  <c r="F27" i="19"/>
  <c r="F8" i="19" s="1"/>
  <c r="S26" i="17"/>
  <c r="M68" i="2"/>
  <c r="N68" i="2" s="1"/>
  <c r="O68" i="2" s="1"/>
  <c r="I58" i="2"/>
  <c r="J58" i="2" s="1"/>
  <c r="I53" i="2"/>
  <c r="J53" i="2" s="1"/>
  <c r="M54" i="2"/>
  <c r="N54" i="2" s="1"/>
  <c r="I55" i="2"/>
  <c r="J55" i="2" s="1"/>
  <c r="I65" i="2"/>
  <c r="J65" i="2" s="1"/>
  <c r="I59" i="2"/>
  <c r="J59" i="2" s="1"/>
  <c r="I64" i="2"/>
  <c r="J64" i="2" s="1"/>
  <c r="O15" i="2"/>
  <c r="S20" i="17"/>
  <c r="G27" i="17"/>
  <c r="I27" i="17" s="1"/>
  <c r="I22" i="17" s="1"/>
  <c r="L18" i="17"/>
  <c r="O29" i="16"/>
  <c r="L115" i="2"/>
  <c r="S19" i="17"/>
  <c r="O120" i="2"/>
  <c r="L53" i="17"/>
  <c r="M66" i="2"/>
  <c r="N66" i="2" s="1"/>
  <c r="O66" i="2" s="1"/>
  <c r="M67" i="2"/>
  <c r="N67" i="2" s="1"/>
  <c r="M64" i="2"/>
  <c r="N64" i="2" s="1"/>
  <c r="M59" i="2"/>
  <c r="N59" i="2" s="1"/>
  <c r="M61" i="2"/>
  <c r="N61" i="2" s="1"/>
  <c r="M62" i="2"/>
  <c r="N62" i="2" s="1"/>
  <c r="F52" i="2"/>
  <c r="M69" i="2"/>
  <c r="N69" i="2" s="1"/>
  <c r="O69" i="2" s="1"/>
  <c r="M56" i="2"/>
  <c r="N56" i="2" s="1"/>
  <c r="O56" i="2" s="1"/>
  <c r="M57" i="2"/>
  <c r="N57" i="2" s="1"/>
  <c r="O121" i="2"/>
  <c r="O21" i="19"/>
  <c r="M49" i="19"/>
  <c r="N49" i="19" s="1"/>
  <c r="N45" i="19" s="1"/>
  <c r="I49" i="19"/>
  <c r="J49" i="19" s="1"/>
  <c r="J45" i="19" s="1"/>
  <c r="F49" i="19"/>
  <c r="O47" i="19"/>
  <c r="H8" i="2"/>
  <c r="O117" i="2"/>
  <c r="O46" i="19"/>
  <c r="G61" i="2"/>
  <c r="H61" i="2" s="1"/>
  <c r="G57" i="2"/>
  <c r="H57" i="2" s="1"/>
  <c r="S55" i="17"/>
  <c r="M63" i="2"/>
  <c r="N63" i="2" s="1"/>
  <c r="M55" i="2"/>
  <c r="N55" i="2" s="1"/>
  <c r="M65" i="2"/>
  <c r="N65" i="2" s="1"/>
  <c r="M70" i="2"/>
  <c r="N70" i="2" s="1"/>
  <c r="R53" i="17"/>
  <c r="N9" i="2"/>
  <c r="O14" i="2"/>
  <c r="H106" i="2"/>
  <c r="J106" i="2"/>
  <c r="L106" i="2"/>
  <c r="O119" i="2"/>
  <c r="F8" i="2"/>
  <c r="O13" i="2"/>
  <c r="I9" i="6"/>
  <c r="L9" i="6"/>
  <c r="N9" i="6" s="1"/>
  <c r="O9" i="6" s="1"/>
  <c r="K9" i="6"/>
  <c r="L12" i="6"/>
  <c r="M12" i="6" s="1"/>
  <c r="M30" i="16"/>
  <c r="F18" i="17"/>
  <c r="S21" i="17"/>
  <c r="M15" i="16"/>
  <c r="K30" i="16"/>
  <c r="K42" i="6"/>
  <c r="L89" i="2"/>
  <c r="M44" i="6"/>
  <c r="M42" i="6" s="1"/>
  <c r="L42" i="6"/>
  <c r="G42" i="6"/>
  <c r="R35" i="16"/>
  <c r="J8" i="17"/>
  <c r="J9" i="17" s="1"/>
  <c r="P8" i="17"/>
  <c r="P9" i="17" s="1"/>
  <c r="M8" i="17"/>
  <c r="M9" i="17" s="1"/>
  <c r="G8" i="17"/>
  <c r="G9" i="17" s="1"/>
  <c r="R27" i="16"/>
  <c r="L31" i="16"/>
  <c r="M31" i="16" s="1"/>
  <c r="I31" i="16"/>
  <c r="J31" i="16"/>
  <c r="K31" i="16" s="1"/>
  <c r="R36" i="16"/>
  <c r="F19" i="2"/>
  <c r="E23" i="2"/>
  <c r="F23" i="2" s="1"/>
  <c r="H20" i="2"/>
  <c r="H24" i="2"/>
  <c r="H22" i="2"/>
  <c r="H21" i="2"/>
  <c r="H25" i="2"/>
  <c r="M22" i="2"/>
  <c r="N22" i="2" s="1"/>
  <c r="M21" i="2"/>
  <c r="N21" i="2" s="1"/>
  <c r="M25" i="2"/>
  <c r="N25" i="2" s="1"/>
  <c r="M20" i="2"/>
  <c r="N20" i="2" s="1"/>
  <c r="M24" i="2"/>
  <c r="N24" i="2" s="1"/>
  <c r="M19" i="2"/>
  <c r="J89" i="2"/>
  <c r="Q29" i="16"/>
  <c r="M36" i="17"/>
  <c r="O36" i="17" s="1"/>
  <c r="M37" i="17"/>
  <c r="O37" i="17" s="1"/>
  <c r="G37" i="17"/>
  <c r="I37" i="17" s="1"/>
  <c r="G36" i="17"/>
  <c r="I36" i="17" s="1"/>
  <c r="P13" i="17"/>
  <c r="R13" i="17" s="1"/>
  <c r="P12" i="17"/>
  <c r="R12" i="17" s="1"/>
  <c r="O96" i="2"/>
  <c r="N89" i="2"/>
  <c r="K88" i="2"/>
  <c r="L88" i="2" s="1"/>
  <c r="K85" i="2"/>
  <c r="L85" i="2" s="1"/>
  <c r="M33" i="17"/>
  <c r="O33" i="17" s="1"/>
  <c r="M34" i="17"/>
  <c r="O34" i="17" s="1"/>
  <c r="J33" i="17"/>
  <c r="L33" i="17" s="1"/>
  <c r="J34" i="17"/>
  <c r="L34" i="17" s="1"/>
  <c r="F44" i="2"/>
  <c r="F46" i="2"/>
  <c r="L46" i="2"/>
  <c r="L10" i="6"/>
  <c r="M10" i="6" s="1"/>
  <c r="N15" i="16"/>
  <c r="J22" i="2"/>
  <c r="J21" i="2"/>
  <c r="J25" i="2"/>
  <c r="J20" i="2"/>
  <c r="J24" i="2"/>
  <c r="P36" i="17"/>
  <c r="R36" i="17" s="1"/>
  <c r="P37" i="17"/>
  <c r="R37" i="17" s="1"/>
  <c r="F35" i="17"/>
  <c r="J13" i="17"/>
  <c r="L13" i="17" s="1"/>
  <c r="J12" i="17"/>
  <c r="L12" i="17" s="1"/>
  <c r="O95" i="2"/>
  <c r="G72" i="2"/>
  <c r="H72" i="2" s="1"/>
  <c r="G76" i="2"/>
  <c r="H76" i="2" s="1"/>
  <c r="G80" i="2"/>
  <c r="H80" i="2" s="1"/>
  <c r="G88" i="2"/>
  <c r="H88" i="2" s="1"/>
  <c r="G75" i="2"/>
  <c r="H75" i="2" s="1"/>
  <c r="G79" i="2"/>
  <c r="H79" i="2" s="1"/>
  <c r="G81" i="2"/>
  <c r="H81" i="2" s="1"/>
  <c r="G85" i="2"/>
  <c r="H85" i="2" s="1"/>
  <c r="N115" i="2"/>
  <c r="F32" i="17"/>
  <c r="G33" i="17"/>
  <c r="I33" i="17" s="1"/>
  <c r="G34" i="17"/>
  <c r="I34" i="17" s="1"/>
  <c r="E36" i="2"/>
  <c r="J39" i="2"/>
  <c r="E42" i="2"/>
  <c r="F42" i="2" s="1"/>
  <c r="L42" i="2"/>
  <c r="E37" i="2"/>
  <c r="F37" i="2" s="1"/>
  <c r="L37" i="2"/>
  <c r="E41" i="2"/>
  <c r="F41" i="2" s="1"/>
  <c r="E39" i="2"/>
  <c r="F39" i="2" s="1"/>
  <c r="N41" i="2"/>
  <c r="E38" i="2"/>
  <c r="F38" i="2" s="1"/>
  <c r="L38" i="2"/>
  <c r="N39" i="2"/>
  <c r="J41" i="2"/>
  <c r="I44" i="6"/>
  <c r="I42" i="6" s="1"/>
  <c r="H42" i="6"/>
  <c r="J9" i="2"/>
  <c r="K45" i="2"/>
  <c r="L45" i="2" s="1"/>
  <c r="K50" i="2"/>
  <c r="L50" i="2" s="1"/>
  <c r="O50" i="2" s="1"/>
  <c r="M49" i="2"/>
  <c r="N49" i="2" s="1"/>
  <c r="M47" i="2"/>
  <c r="N47" i="2" s="1"/>
  <c r="L11" i="6"/>
  <c r="P15" i="16"/>
  <c r="J15" i="16"/>
  <c r="O94" i="2"/>
  <c r="I53" i="17"/>
  <c r="S54" i="17"/>
  <c r="H14" i="6"/>
  <c r="I14" i="6" s="1"/>
  <c r="F14" i="6"/>
  <c r="G14" i="6" s="1"/>
  <c r="J14" i="6"/>
  <c r="K14" i="6" s="1"/>
  <c r="O15" i="16"/>
  <c r="D57" i="17"/>
  <c r="F57" i="17" s="1"/>
  <c r="D58" i="17"/>
  <c r="F58" i="17" s="1"/>
  <c r="J115" i="2"/>
  <c r="L17" i="6"/>
  <c r="M17" i="6" s="1"/>
  <c r="J36" i="17"/>
  <c r="L36" i="17" s="1"/>
  <c r="J37" i="17"/>
  <c r="L37" i="17" s="1"/>
  <c r="M13" i="17"/>
  <c r="O13" i="17" s="1"/>
  <c r="M12" i="17"/>
  <c r="O12" i="17" s="1"/>
  <c r="G12" i="17"/>
  <c r="I12" i="17" s="1"/>
  <c r="G13" i="17"/>
  <c r="I13" i="17" s="1"/>
  <c r="M78" i="2"/>
  <c r="N78" i="2" s="1"/>
  <c r="M77" i="2"/>
  <c r="N77" i="2" s="1"/>
  <c r="N29" i="16"/>
  <c r="O10" i="2"/>
  <c r="L22" i="17"/>
  <c r="G9" i="6"/>
  <c r="L18" i="6"/>
  <c r="M18" i="6" s="1"/>
  <c r="L15" i="16"/>
  <c r="J42" i="6"/>
  <c r="R34" i="16"/>
  <c r="O90" i="2"/>
  <c r="O44" i="6"/>
  <c r="O42" i="6" s="1"/>
  <c r="N42" i="6"/>
  <c r="I49" i="2"/>
  <c r="J49" i="2" s="1"/>
  <c r="I47" i="2"/>
  <c r="J47" i="2" s="1"/>
  <c r="F48" i="2"/>
  <c r="L15" i="6"/>
  <c r="Q15" i="16"/>
  <c r="K15" i="16"/>
  <c r="E93" i="2"/>
  <c r="F92" i="2"/>
  <c r="P45" i="6"/>
  <c r="L16" i="6"/>
  <c r="M16" i="6" s="1"/>
  <c r="R26" i="16"/>
  <c r="I15" i="16"/>
  <c r="E26" i="2"/>
  <c r="E7" i="2" s="1"/>
  <c r="P8" i="2" s="1"/>
  <c r="J29" i="2"/>
  <c r="N30" i="2"/>
  <c r="J33" i="2"/>
  <c r="F29" i="2"/>
  <c r="J30" i="2"/>
  <c r="F33" i="2"/>
  <c r="F28" i="2"/>
  <c r="F30" i="2"/>
  <c r="N32" i="2"/>
  <c r="F34" i="2"/>
  <c r="N29" i="2"/>
  <c r="N31" i="2"/>
  <c r="N33" i="2"/>
  <c r="K20" i="2"/>
  <c r="L20" i="2" s="1"/>
  <c r="K24" i="2"/>
  <c r="L24" i="2" s="1"/>
  <c r="K19" i="2"/>
  <c r="K22" i="2"/>
  <c r="L22" i="2" s="1"/>
  <c r="K21" i="2"/>
  <c r="L21" i="2" s="1"/>
  <c r="K25" i="2"/>
  <c r="L25" i="2" s="1"/>
  <c r="L9" i="2"/>
  <c r="P27" i="17"/>
  <c r="R27" i="17" s="1"/>
  <c r="R23" i="17"/>
  <c r="P29" i="16"/>
  <c r="L13" i="6"/>
  <c r="M13" i="6" s="1"/>
  <c r="L32" i="16"/>
  <c r="M32" i="16" s="1"/>
  <c r="I32" i="16"/>
  <c r="J32" i="16"/>
  <c r="K32" i="16" s="1"/>
  <c r="F11" i="17"/>
  <c r="I73" i="2"/>
  <c r="J73" i="2" s="1"/>
  <c r="I77" i="2"/>
  <c r="J77" i="2" s="1"/>
  <c r="I83" i="2"/>
  <c r="J83" i="2" s="1"/>
  <c r="I74" i="2"/>
  <c r="J74" i="2" s="1"/>
  <c r="I78" i="2"/>
  <c r="J78" i="2" s="1"/>
  <c r="I81" i="2"/>
  <c r="J81" i="2" s="1"/>
  <c r="I72" i="2"/>
  <c r="J72" i="2" s="1"/>
  <c r="I76" i="2"/>
  <c r="J76" i="2" s="1"/>
  <c r="I80" i="2"/>
  <c r="J80" i="2" s="1"/>
  <c r="I75" i="2"/>
  <c r="J75" i="2" s="1"/>
  <c r="I79" i="2"/>
  <c r="J79" i="2" s="1"/>
  <c r="I82" i="2"/>
  <c r="J82" i="2" s="1"/>
  <c r="I88" i="2"/>
  <c r="J88" i="2" s="1"/>
  <c r="I84" i="2"/>
  <c r="J84" i="2" s="1"/>
  <c r="I85" i="2"/>
  <c r="J85" i="2" s="1"/>
  <c r="P33" i="17"/>
  <c r="R33" i="17" s="1"/>
  <c r="P34" i="17"/>
  <c r="R34" i="17" s="1"/>
  <c r="N22" i="6"/>
  <c r="N21" i="6" s="1"/>
  <c r="O28" i="6"/>
  <c r="L81" i="17"/>
  <c r="L77" i="17" s="1"/>
  <c r="S82" i="17"/>
  <c r="S81" i="17" s="1"/>
  <c r="S77" i="17" s="1"/>
  <c r="M88" i="2" l="1"/>
  <c r="N88" i="2" s="1"/>
  <c r="M75" i="2"/>
  <c r="N75" i="2" s="1"/>
  <c r="M74" i="2"/>
  <c r="N74" i="2" s="1"/>
  <c r="M87" i="2"/>
  <c r="N87" i="2" s="1"/>
  <c r="M73" i="2"/>
  <c r="N73" i="2" s="1"/>
  <c r="M82" i="2"/>
  <c r="N82" i="2" s="1"/>
  <c r="M76" i="2"/>
  <c r="N76" i="2" s="1"/>
  <c r="M86" i="2"/>
  <c r="N86" i="2" s="1"/>
  <c r="O86" i="2" s="1"/>
  <c r="M72" i="2"/>
  <c r="N72" i="2" s="1"/>
  <c r="M85" i="2"/>
  <c r="N85" i="2" s="1"/>
  <c r="M83" i="2"/>
  <c r="N83" i="2" s="1"/>
  <c r="M81" i="2"/>
  <c r="N81" i="2" s="1"/>
  <c r="M80" i="2"/>
  <c r="N80" i="2" s="1"/>
  <c r="M79" i="2"/>
  <c r="N79" i="2" s="1"/>
  <c r="O54" i="2"/>
  <c r="K81" i="2"/>
  <c r="L81" i="2" s="1"/>
  <c r="O81" i="2" s="1"/>
  <c r="K79" i="2"/>
  <c r="L79" i="2" s="1"/>
  <c r="K75" i="2"/>
  <c r="L75" i="2" s="1"/>
  <c r="K80" i="2"/>
  <c r="L80" i="2" s="1"/>
  <c r="K76" i="2"/>
  <c r="L76" i="2" s="1"/>
  <c r="R9" i="16"/>
  <c r="L10" i="16"/>
  <c r="M10" i="16" s="1"/>
  <c r="M8" i="16" s="1"/>
  <c r="M7" i="16" s="1"/>
  <c r="K8" i="16"/>
  <c r="K7" i="16" s="1"/>
  <c r="P10" i="16"/>
  <c r="Q10" i="16" s="1"/>
  <c r="Q8" i="16" s="1"/>
  <c r="Q7" i="16" s="1"/>
  <c r="Q6" i="16" s="1"/>
  <c r="G8" i="15" s="1"/>
  <c r="H9" i="18" s="1"/>
  <c r="N10" i="16"/>
  <c r="O10" i="16" s="1"/>
  <c r="O8" i="16" s="1"/>
  <c r="O7" i="16" s="1"/>
  <c r="O6" i="16" s="1"/>
  <c r="F8" i="15" s="1"/>
  <c r="G9" i="18" s="1"/>
  <c r="I10" i="16"/>
  <c r="I8" i="16" s="1"/>
  <c r="I7" i="16" s="1"/>
  <c r="O87" i="2"/>
  <c r="F71" i="2"/>
  <c r="F51" i="2" s="1"/>
  <c r="O53" i="2"/>
  <c r="S53" i="17"/>
  <c r="O58" i="2"/>
  <c r="O14" i="19"/>
  <c r="O74" i="2"/>
  <c r="N106" i="2"/>
  <c r="J52" i="2"/>
  <c r="L52" i="2"/>
  <c r="O70" i="2"/>
  <c r="O65" i="2"/>
  <c r="O55" i="2"/>
  <c r="O63" i="2"/>
  <c r="O67" i="2"/>
  <c r="S18" i="17"/>
  <c r="O62" i="2"/>
  <c r="O59" i="2"/>
  <c r="O13" i="19"/>
  <c r="H9" i="19"/>
  <c r="H8" i="19" s="1"/>
  <c r="H7" i="19" s="1"/>
  <c r="L9" i="19"/>
  <c r="L8" i="19" s="1"/>
  <c r="L7" i="19" s="1"/>
  <c r="O106" i="2"/>
  <c r="O82" i="2"/>
  <c r="O49" i="19"/>
  <c r="O45" i="19" s="1"/>
  <c r="N7" i="19"/>
  <c r="J27" i="19"/>
  <c r="J8" i="19" s="1"/>
  <c r="J7" i="19" s="1"/>
  <c r="O28" i="19"/>
  <c r="O27" i="19" s="1"/>
  <c r="J8" i="2"/>
  <c r="S27" i="17"/>
  <c r="L11" i="17"/>
  <c r="O25" i="2"/>
  <c r="H52" i="2"/>
  <c r="N13" i="6"/>
  <c r="O13" i="6" s="1"/>
  <c r="P13" i="6" s="1"/>
  <c r="O64" i="2"/>
  <c r="O57" i="2"/>
  <c r="O115" i="2"/>
  <c r="L32" i="17"/>
  <c r="O73" i="2"/>
  <c r="R30" i="16"/>
  <c r="O77" i="2"/>
  <c r="O78" i="2"/>
  <c r="M26" i="2"/>
  <c r="M7" i="2" s="1"/>
  <c r="N18" i="6"/>
  <c r="O18" i="6" s="1"/>
  <c r="P18" i="6" s="1"/>
  <c r="O84" i="2"/>
  <c r="F8" i="6"/>
  <c r="F7" i="6" s="1"/>
  <c r="F6" i="6" s="1"/>
  <c r="S13" i="17"/>
  <c r="O37" i="2"/>
  <c r="I32" i="17"/>
  <c r="N52" i="2"/>
  <c r="O61" i="2"/>
  <c r="R32" i="17"/>
  <c r="O75" i="2"/>
  <c r="O21" i="2"/>
  <c r="O9" i="2"/>
  <c r="R35" i="17"/>
  <c r="O35" i="17"/>
  <c r="N8" i="2"/>
  <c r="N12" i="6"/>
  <c r="O12" i="6" s="1"/>
  <c r="P12" i="6" s="1"/>
  <c r="F45" i="19"/>
  <c r="F7" i="19" s="1"/>
  <c r="O47" i="2"/>
  <c r="O32" i="17"/>
  <c r="O88" i="2"/>
  <c r="O22" i="2"/>
  <c r="N6" i="16"/>
  <c r="L8" i="2"/>
  <c r="O85" i="2"/>
  <c r="O83" i="2"/>
  <c r="L43" i="2"/>
  <c r="O20" i="2"/>
  <c r="O49" i="2"/>
  <c r="P6" i="16"/>
  <c r="O38" i="2"/>
  <c r="O24" i="2"/>
  <c r="R11" i="17"/>
  <c r="J71" i="2"/>
  <c r="R22" i="17"/>
  <c r="J31" i="2"/>
  <c r="K31" i="2"/>
  <c r="L31" i="2" s="1"/>
  <c r="I26" i="2"/>
  <c r="I7" i="2" s="1"/>
  <c r="O28" i="2"/>
  <c r="H32" i="2"/>
  <c r="F32" i="2"/>
  <c r="K26" i="2"/>
  <c r="K7" i="2" s="1"/>
  <c r="K34" i="2"/>
  <c r="L34" i="2" s="1"/>
  <c r="O34" i="2" s="1"/>
  <c r="M16" i="17"/>
  <c r="D16" i="17"/>
  <c r="J16" i="17"/>
  <c r="P16" i="17"/>
  <c r="G16" i="17"/>
  <c r="M57" i="17"/>
  <c r="O57" i="17" s="1"/>
  <c r="M58" i="17"/>
  <c r="O58" i="17" s="1"/>
  <c r="J58" i="17"/>
  <c r="L58" i="17" s="1"/>
  <c r="J57" i="17"/>
  <c r="L57" i="17" s="1"/>
  <c r="L14" i="6"/>
  <c r="L8" i="6" s="1"/>
  <c r="L7" i="6" s="1"/>
  <c r="L6" i="6" s="1"/>
  <c r="M11" i="6"/>
  <c r="N11" i="6"/>
  <c r="O11" i="6" s="1"/>
  <c r="O41" i="2"/>
  <c r="J19" i="2"/>
  <c r="J23" i="2"/>
  <c r="F43" i="2"/>
  <c r="S37" i="17"/>
  <c r="R9" i="17"/>
  <c r="P10" i="17"/>
  <c r="R10" i="17" s="1"/>
  <c r="O45" i="2"/>
  <c r="J29" i="16"/>
  <c r="J6" i="16" s="1"/>
  <c r="L29" i="16"/>
  <c r="L6" i="16" s="1"/>
  <c r="F31" i="2"/>
  <c r="F27" i="2" s="1"/>
  <c r="H31" i="2"/>
  <c r="O30" i="2"/>
  <c r="O33" i="2"/>
  <c r="J48" i="2"/>
  <c r="N48" i="2"/>
  <c r="G8" i="6"/>
  <c r="G7" i="6" s="1"/>
  <c r="G6" i="6" s="1"/>
  <c r="C10" i="15" s="1"/>
  <c r="D11" i="18" s="1"/>
  <c r="F56" i="17"/>
  <c r="P57" i="17"/>
  <c r="R57" i="17" s="1"/>
  <c r="P58" i="17"/>
  <c r="R58" i="17" s="1"/>
  <c r="N16" i="6"/>
  <c r="O16" i="6" s="1"/>
  <c r="P16" i="6" s="1"/>
  <c r="L35" i="2"/>
  <c r="F36" i="2"/>
  <c r="J36" i="2"/>
  <c r="E40" i="2"/>
  <c r="N36" i="2"/>
  <c r="H71" i="2"/>
  <c r="H51" i="2" s="1"/>
  <c r="N44" i="2"/>
  <c r="J44" i="2"/>
  <c r="S34" i="17"/>
  <c r="N10" i="6"/>
  <c r="G10" i="17"/>
  <c r="I9" i="17"/>
  <c r="J10" i="17"/>
  <c r="L9" i="17"/>
  <c r="K29" i="16"/>
  <c r="S23" i="17"/>
  <c r="M9" i="6"/>
  <c r="R32" i="16"/>
  <c r="I11" i="17"/>
  <c r="S12" i="17"/>
  <c r="D46" i="17"/>
  <c r="F46" i="17" s="1"/>
  <c r="D45" i="17"/>
  <c r="F45" i="17" s="1"/>
  <c r="D31" i="17"/>
  <c r="F31" i="17" s="1"/>
  <c r="D30" i="17"/>
  <c r="F30" i="17" s="1"/>
  <c r="G58" i="17"/>
  <c r="I58" i="17" s="1"/>
  <c r="G57" i="17"/>
  <c r="I57" i="17" s="1"/>
  <c r="D43" i="17"/>
  <c r="F43" i="17" s="1"/>
  <c r="D42" i="17"/>
  <c r="F42" i="17" s="1"/>
  <c r="N19" i="2"/>
  <c r="M23" i="2"/>
  <c r="N23" i="2" s="1"/>
  <c r="D10" i="17"/>
  <c r="F10" i="17" s="1"/>
  <c r="F9" i="17"/>
  <c r="P44" i="6"/>
  <c r="P42" i="6" s="1"/>
  <c r="K8" i="6"/>
  <c r="K7" i="6" s="1"/>
  <c r="K6" i="6" s="1"/>
  <c r="E10" i="15" s="1"/>
  <c r="F11" i="18" s="1"/>
  <c r="H8" i="6"/>
  <c r="H7" i="6" s="1"/>
  <c r="H6" i="6" s="1"/>
  <c r="N27" i="2"/>
  <c r="O92" i="2"/>
  <c r="M15" i="6"/>
  <c r="N15" i="6"/>
  <c r="O15" i="6" s="1"/>
  <c r="K23" i="2"/>
  <c r="L23" i="2" s="1"/>
  <c r="L19" i="2"/>
  <c r="K32" i="2"/>
  <c r="L32" i="2" s="1"/>
  <c r="J32" i="2"/>
  <c r="O29" i="2"/>
  <c r="F93" i="2"/>
  <c r="F89" i="2" s="1"/>
  <c r="H93" i="2"/>
  <c r="H89" i="2" s="1"/>
  <c r="I29" i="16"/>
  <c r="I6" i="16" s="1"/>
  <c r="C8" i="15" s="1"/>
  <c r="O11" i="17"/>
  <c r="L35" i="17"/>
  <c r="D52" i="17"/>
  <c r="F52" i="17" s="1"/>
  <c r="D51" i="17"/>
  <c r="F51" i="17" s="1"/>
  <c r="D49" i="17"/>
  <c r="F49" i="17" s="1"/>
  <c r="D48" i="17"/>
  <c r="F48" i="17" s="1"/>
  <c r="D39" i="17"/>
  <c r="F39" i="17" s="1"/>
  <c r="D40" i="17"/>
  <c r="F40" i="17" s="1"/>
  <c r="R15" i="16"/>
  <c r="O39" i="2"/>
  <c r="O42" i="2"/>
  <c r="S33" i="17"/>
  <c r="S36" i="17"/>
  <c r="O46" i="2"/>
  <c r="O72" i="2"/>
  <c r="I35" i="17"/>
  <c r="N17" i="6"/>
  <c r="O17" i="6" s="1"/>
  <c r="P17" i="6" s="1"/>
  <c r="H23" i="2"/>
  <c r="H19" i="2"/>
  <c r="F18" i="2"/>
  <c r="R31" i="16"/>
  <c r="O9" i="17"/>
  <c r="M10" i="17"/>
  <c r="M29" i="16"/>
  <c r="J8" i="6"/>
  <c r="J7" i="6" s="1"/>
  <c r="J6" i="6" s="1"/>
  <c r="I8" i="6"/>
  <c r="I7" i="6" s="1"/>
  <c r="I6" i="6" s="1"/>
  <c r="D10" i="15" s="1"/>
  <c r="E11" i="18" s="1"/>
  <c r="O22" i="6"/>
  <c r="O21" i="6" s="1"/>
  <c r="P28" i="6"/>
  <c r="P22" i="6" s="1"/>
  <c r="P21" i="6" s="1"/>
  <c r="N71" i="2" l="1"/>
  <c r="O76" i="2"/>
  <c r="O80" i="2"/>
  <c r="O79" i="2"/>
  <c r="L71" i="2"/>
  <c r="L51" i="2" s="1"/>
  <c r="R10" i="16"/>
  <c r="R8" i="16" s="1"/>
  <c r="R7" i="16" s="1"/>
  <c r="O9" i="19"/>
  <c r="O8" i="19" s="1"/>
  <c r="J51" i="2"/>
  <c r="R29" i="16"/>
  <c r="S22" i="17"/>
  <c r="O52" i="2"/>
  <c r="O8" i="2"/>
  <c r="D12" i="18"/>
  <c r="J27" i="2"/>
  <c r="H27" i="2"/>
  <c r="H26" i="2" s="1"/>
  <c r="S32" i="17"/>
  <c r="N51" i="2"/>
  <c r="P15" i="6"/>
  <c r="O31" i="2"/>
  <c r="J18" i="2"/>
  <c r="S35" i="17"/>
  <c r="J43" i="2"/>
  <c r="F50" i="17"/>
  <c r="S57" i="17"/>
  <c r="O23" i="2"/>
  <c r="S58" i="17"/>
  <c r="N43" i="2"/>
  <c r="O48" i="2"/>
  <c r="R8" i="17"/>
  <c r="R7" i="17" s="1"/>
  <c r="S11" i="17"/>
  <c r="O71" i="2"/>
  <c r="L18" i="2"/>
  <c r="H18" i="2"/>
  <c r="M6" i="16"/>
  <c r="E8" i="15" s="1"/>
  <c r="F9" i="18" s="1"/>
  <c r="I56" i="17"/>
  <c r="K6" i="16"/>
  <c r="D8" i="15" s="1"/>
  <c r="E9" i="18" s="1"/>
  <c r="D9" i="18"/>
  <c r="P39" i="17"/>
  <c r="R39" i="17" s="1"/>
  <c r="P40" i="17"/>
  <c r="R40" i="17" s="1"/>
  <c r="P49" i="17"/>
  <c r="R49" i="17" s="1"/>
  <c r="P48" i="17"/>
  <c r="R48" i="17" s="1"/>
  <c r="P42" i="17"/>
  <c r="R42" i="17" s="1"/>
  <c r="P43" i="17"/>
  <c r="R43" i="17" s="1"/>
  <c r="G42" i="17"/>
  <c r="I42" i="17" s="1"/>
  <c r="G43" i="17"/>
  <c r="I43" i="17" s="1"/>
  <c r="J31" i="17"/>
  <c r="L31" i="17" s="1"/>
  <c r="J30" i="17"/>
  <c r="L30" i="17" s="1"/>
  <c r="G30" i="17"/>
  <c r="I30" i="17" s="1"/>
  <c r="G31" i="17"/>
  <c r="I31" i="17" s="1"/>
  <c r="J45" i="17"/>
  <c r="L45" i="17" s="1"/>
  <c r="J46" i="17"/>
  <c r="L46" i="17" s="1"/>
  <c r="O10" i="6"/>
  <c r="N40" i="2"/>
  <c r="N35" i="2" s="1"/>
  <c r="J40" i="2"/>
  <c r="J35" i="2" s="1"/>
  <c r="F40" i="2"/>
  <c r="F35" i="2" s="1"/>
  <c r="L56" i="17"/>
  <c r="I16" i="17"/>
  <c r="G17" i="17"/>
  <c r="I17" i="17" s="1"/>
  <c r="M17" i="17"/>
  <c r="O17" i="17" s="1"/>
  <c r="O16" i="17"/>
  <c r="O32" i="2"/>
  <c r="F8" i="17"/>
  <c r="F7" i="17" s="1"/>
  <c r="S9" i="17"/>
  <c r="F41" i="17"/>
  <c r="J43" i="17"/>
  <c r="L43" i="17" s="1"/>
  <c r="J42" i="17"/>
  <c r="L42" i="17" s="1"/>
  <c r="F29" i="17"/>
  <c r="M45" i="17"/>
  <c r="O45" i="17" s="1"/>
  <c r="M46" i="17"/>
  <c r="O46" i="17" s="1"/>
  <c r="L10" i="17"/>
  <c r="L8" i="17" s="1"/>
  <c r="L7" i="17" s="1"/>
  <c r="P17" i="17"/>
  <c r="R16" i="17"/>
  <c r="J39" i="17"/>
  <c r="L39" i="17" s="1"/>
  <c r="J40" i="17"/>
  <c r="L40" i="17" s="1"/>
  <c r="J48" i="17"/>
  <c r="L48" i="17" s="1"/>
  <c r="J49" i="17"/>
  <c r="L49" i="17" s="1"/>
  <c r="P30" i="17"/>
  <c r="R30" i="17" s="1"/>
  <c r="P31" i="17"/>
  <c r="R31" i="17" s="1"/>
  <c r="P46" i="17"/>
  <c r="R46" i="17" s="1"/>
  <c r="P45" i="17"/>
  <c r="R45" i="17" s="1"/>
  <c r="O36" i="2"/>
  <c r="M14" i="6"/>
  <c r="M8" i="6" s="1"/>
  <c r="M7" i="6" s="1"/>
  <c r="M6" i="6" s="1"/>
  <c r="F10" i="15" s="1"/>
  <c r="N14" i="6"/>
  <c r="O14" i="6" s="1"/>
  <c r="J17" i="17"/>
  <c r="L17" i="17" s="1"/>
  <c r="L16" i="17"/>
  <c r="L27" i="2"/>
  <c r="L26" i="2" s="1"/>
  <c r="O10" i="17"/>
  <c r="O8" i="17" s="1"/>
  <c r="O7" i="17" s="1"/>
  <c r="M48" i="17"/>
  <c r="O48" i="17" s="1"/>
  <c r="M49" i="17"/>
  <c r="O49" i="17" s="1"/>
  <c r="G52" i="17"/>
  <c r="I52" i="17" s="1"/>
  <c r="G51" i="17"/>
  <c r="I51" i="17" s="1"/>
  <c r="G39" i="17"/>
  <c r="I39" i="17" s="1"/>
  <c r="G40" i="17"/>
  <c r="I40" i="17" s="1"/>
  <c r="G49" i="17"/>
  <c r="I49" i="17" s="1"/>
  <c r="G48" i="17"/>
  <c r="I48" i="17" s="1"/>
  <c r="P52" i="17"/>
  <c r="R52" i="17" s="1"/>
  <c r="P51" i="17"/>
  <c r="R51" i="17" s="1"/>
  <c r="O93" i="2"/>
  <c r="O89" i="2" s="1"/>
  <c r="O19" i="2"/>
  <c r="M39" i="17"/>
  <c r="O39" i="17" s="1"/>
  <c r="M40" i="17"/>
  <c r="O40" i="17" s="1"/>
  <c r="F38" i="17"/>
  <c r="F47" i="17"/>
  <c r="M51" i="17"/>
  <c r="O51" i="17" s="1"/>
  <c r="M52" i="17"/>
  <c r="O52" i="17" s="1"/>
  <c r="J51" i="17"/>
  <c r="L51" i="17" s="1"/>
  <c r="J52" i="17"/>
  <c r="L52" i="17" s="1"/>
  <c r="N18" i="2"/>
  <c r="M42" i="17"/>
  <c r="O42" i="17" s="1"/>
  <c r="M43" i="17"/>
  <c r="O43" i="17" s="1"/>
  <c r="M31" i="17"/>
  <c r="O31" i="17" s="1"/>
  <c r="M30" i="17"/>
  <c r="O30" i="17" s="1"/>
  <c r="F44" i="17"/>
  <c r="G45" i="17"/>
  <c r="I45" i="17" s="1"/>
  <c r="G46" i="17"/>
  <c r="I46" i="17" s="1"/>
  <c r="I10" i="17"/>
  <c r="R56" i="17"/>
  <c r="P9" i="6"/>
  <c r="O44" i="2"/>
  <c r="P11" i="6"/>
  <c r="O56" i="17"/>
  <c r="F16" i="17"/>
  <c r="D17" i="17"/>
  <c r="F17" i="17" s="1"/>
  <c r="H7" i="2" l="1"/>
  <c r="R6" i="16"/>
  <c r="O51" i="2"/>
  <c r="D6" i="17"/>
  <c r="O43" i="2"/>
  <c r="J26" i="2"/>
  <c r="J7" i="2" s="1"/>
  <c r="E7" i="15" s="1"/>
  <c r="H12" i="18"/>
  <c r="E12" i="18"/>
  <c r="L7" i="2"/>
  <c r="N26" i="2"/>
  <c r="N7" i="2" s="1"/>
  <c r="G7" i="15" s="1"/>
  <c r="O27" i="2"/>
  <c r="G12" i="18"/>
  <c r="R38" i="17"/>
  <c r="O18" i="2"/>
  <c r="S49" i="17"/>
  <c r="S46" i="17"/>
  <c r="P14" i="6"/>
  <c r="O38" i="17"/>
  <c r="I15" i="17"/>
  <c r="R47" i="17"/>
  <c r="O50" i="17"/>
  <c r="S40" i="17"/>
  <c r="L15" i="17"/>
  <c r="O15" i="17"/>
  <c r="S56" i="17"/>
  <c r="F12" i="18"/>
  <c r="H8" i="15"/>
  <c r="C9" i="18" s="1"/>
  <c r="I38" i="17"/>
  <c r="I29" i="17"/>
  <c r="I41" i="17"/>
  <c r="S45" i="17"/>
  <c r="S52" i="17"/>
  <c r="L50" i="17"/>
  <c r="S10" i="17"/>
  <c r="S8" i="17" s="1"/>
  <c r="S7" i="17" s="1"/>
  <c r="O29" i="17"/>
  <c r="S48" i="17"/>
  <c r="R29" i="17"/>
  <c r="L29" i="17"/>
  <c r="L41" i="17"/>
  <c r="G11" i="18"/>
  <c r="F15" i="17"/>
  <c r="F14" i="17" s="1"/>
  <c r="F6" i="17" s="1"/>
  <c r="C9" i="15" s="1"/>
  <c r="S16" i="17"/>
  <c r="M6" i="17"/>
  <c r="R17" i="17"/>
  <c r="R15" i="17" s="1"/>
  <c r="P6" i="17"/>
  <c r="O44" i="17"/>
  <c r="O8" i="6"/>
  <c r="O7" i="6" s="1"/>
  <c r="O6" i="6" s="1"/>
  <c r="G10" i="15" s="1"/>
  <c r="H11" i="18" s="1"/>
  <c r="P10" i="6"/>
  <c r="S51" i="17"/>
  <c r="I50" i="17"/>
  <c r="F26" i="2"/>
  <c r="F7" i="2" s="1"/>
  <c r="C7" i="15" s="1"/>
  <c r="O41" i="17"/>
  <c r="I47" i="17"/>
  <c r="L38" i="17"/>
  <c r="J6" i="17"/>
  <c r="O40" i="2"/>
  <c r="O35" i="2" s="1"/>
  <c r="N8" i="6"/>
  <c r="N7" i="6" s="1"/>
  <c r="N6" i="6" s="1"/>
  <c r="L44" i="17"/>
  <c r="S31" i="17"/>
  <c r="R41" i="17"/>
  <c r="I8" i="17"/>
  <c r="I7" i="17" s="1"/>
  <c r="S30" i="17"/>
  <c r="S42" i="17"/>
  <c r="S43" i="17"/>
  <c r="G6" i="17"/>
  <c r="I44" i="17"/>
  <c r="S39" i="17"/>
  <c r="R50" i="17"/>
  <c r="O47" i="17"/>
  <c r="R44" i="17"/>
  <c r="L47" i="17"/>
  <c r="F7" i="15" l="1"/>
  <c r="G8" i="18" s="1"/>
  <c r="D7" i="15"/>
  <c r="E8" i="18" s="1"/>
  <c r="F8" i="18"/>
  <c r="P8" i="6"/>
  <c r="P7" i="6" s="1"/>
  <c r="P6" i="6" s="1"/>
  <c r="S6" i="6" s="1"/>
  <c r="O26" i="2"/>
  <c r="O7" i="2" s="1"/>
  <c r="Q7" i="2" s="1"/>
  <c r="Q8" i="2" s="1"/>
  <c r="S17" i="17"/>
  <c r="S15" i="17" s="1"/>
  <c r="S47" i="17"/>
  <c r="S50" i="17"/>
  <c r="S38" i="17"/>
  <c r="S44" i="17"/>
  <c r="O14" i="17"/>
  <c r="O6" i="17" s="1"/>
  <c r="F9" i="15" s="1"/>
  <c r="G10" i="18" s="1"/>
  <c r="C12" i="18"/>
  <c r="S29" i="17"/>
  <c r="L14" i="17"/>
  <c r="L6" i="17" s="1"/>
  <c r="E9" i="15" s="1"/>
  <c r="E6" i="15" s="1"/>
  <c r="D10" i="18"/>
  <c r="R14" i="17"/>
  <c r="R6" i="17" s="1"/>
  <c r="G9" i="15" s="1"/>
  <c r="H10" i="18" s="1"/>
  <c r="H10" i="15"/>
  <c r="C11" i="18" s="1"/>
  <c r="D8" i="18"/>
  <c r="H7" i="15"/>
  <c r="C6" i="15"/>
  <c r="C13" i="15" s="1"/>
  <c r="H8" i="18"/>
  <c r="I14" i="17"/>
  <c r="I6" i="17" s="1"/>
  <c r="D9" i="15" s="1"/>
  <c r="S41" i="17"/>
  <c r="P46" i="6" l="1"/>
  <c r="F6" i="15"/>
  <c r="G7" i="18" s="1"/>
  <c r="F10" i="18"/>
  <c r="S14" i="17"/>
  <c r="S6" i="17" s="1"/>
  <c r="E10" i="18"/>
  <c r="D6" i="15"/>
  <c r="H9" i="15"/>
  <c r="H6" i="15" s="1"/>
  <c r="D7" i="18"/>
  <c r="C11" i="15"/>
  <c r="E13" i="15"/>
  <c r="E11" i="15" s="1"/>
  <c r="F7" i="18"/>
  <c r="G6" i="15"/>
  <c r="C8" i="18"/>
  <c r="C7" i="18" l="1"/>
  <c r="F13" i="15"/>
  <c r="F13" i="18"/>
  <c r="E14" i="15"/>
  <c r="F6" i="18" s="1"/>
  <c r="H15" i="15"/>
  <c r="C10" i="18"/>
  <c r="D13" i="15"/>
  <c r="D11" i="15" s="1"/>
  <c r="D14" i="15" s="1"/>
  <c r="E7" i="18"/>
  <c r="C14" i="15"/>
  <c r="D6" i="18" s="1"/>
  <c r="D13" i="18"/>
  <c r="H7" i="18"/>
  <c r="G13" i="15"/>
  <c r="G11" i="15" s="1"/>
  <c r="F11" i="15" l="1"/>
  <c r="F14" i="15" s="1"/>
  <c r="G6" i="18" s="1"/>
  <c r="G13" i="18"/>
  <c r="G14" i="15"/>
  <c r="H6" i="18" s="1"/>
  <c r="H13" i="18"/>
  <c r="H13" i="15"/>
  <c r="E6" i="18"/>
  <c r="E13" i="18"/>
  <c r="H11" i="15" l="1"/>
  <c r="H14" i="15" s="1"/>
  <c r="C6" i="18" s="1"/>
  <c r="C13" i="18"/>
  <c r="G26" i="2"/>
  <c r="G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AD13" authorId="0" shapeId="0" xr:uid="{00000000-0006-0000-0000-000001000000}">
      <text>
        <r>
          <rPr>
            <sz val="9"/>
            <color indexed="81"/>
            <rFont val="Tahoma"/>
            <family val="2"/>
          </rPr>
          <t>26b DKZ, 26bCo82</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E9" authorId="0" shapeId="0" xr:uid="{00000000-0006-0000-0200-000001000000}">
      <text>
        <r>
          <rPr>
            <sz val="9"/>
            <color indexed="81"/>
            <rFont val="Tahoma"/>
            <family val="2"/>
          </rPr>
          <t xml:space="preserve">39 Ban CHQS CQ,TC HCSN, công lập
</t>
        </r>
      </text>
    </comment>
    <comment ref="E45" authorId="0" shapeId="0" xr:uid="{00000000-0006-0000-0200-000002000000}">
      <text>
        <r>
          <rPr>
            <sz val="9"/>
            <color indexed="81"/>
            <rFont val="Tahoma"/>
            <family val="2"/>
          </rPr>
          <t>17b, 113 a đơn vị TV HCSN công lập</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10" authorId="0" shapeId="0" xr:uid="{00000000-0006-0000-0300-000001000000}">
      <text>
        <r>
          <rPr>
            <sz val="9"/>
            <color indexed="81"/>
            <rFont val="Tahoma"/>
            <family val="2"/>
          </rPr>
          <t xml:space="preserve">2026: 5%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19" authorId="0" shapeId="0" xr:uid="{00000000-0006-0000-0400-000001000000}">
      <text>
        <r>
          <rPr>
            <sz val="9"/>
            <color indexed="81"/>
            <rFont val="Tahoma"/>
            <family val="2"/>
          </rPr>
          <t>Tiền/người/năm
105.300đ/tháng</t>
        </r>
      </text>
    </comment>
    <comment ref="C20" authorId="0" shapeId="0" xr:uid="{00000000-0006-0000-0400-000002000000}">
      <text>
        <r>
          <rPr>
            <sz val="9"/>
            <color indexed="81"/>
            <rFont val="Tahoma"/>
            <family val="2"/>
          </rPr>
          <t xml:space="preserve">330.000đ/người/tháng
</t>
        </r>
      </text>
    </comment>
    <comment ref="C26" authorId="0" shapeId="0" xr:uid="{00000000-0006-0000-0400-000003000000}">
      <text>
        <r>
          <rPr>
            <sz val="9"/>
            <color indexed="81"/>
            <rFont val="Tahoma"/>
            <family val="2"/>
          </rPr>
          <t>Tiền/người/năm
105.300đ/tháng</t>
        </r>
      </text>
    </comment>
    <comment ref="C27" authorId="0" shapeId="0" xr:uid="{00000000-0006-0000-0400-000004000000}">
      <text>
        <r>
          <rPr>
            <sz val="9"/>
            <color indexed="81"/>
            <rFont val="Tahoma"/>
            <family val="2"/>
          </rPr>
          <t xml:space="preserve">330.000đ/người/tháng
</t>
        </r>
      </text>
    </comment>
    <comment ref="D78" authorId="0" shapeId="0" xr:uid="{00000000-0006-0000-0400-000005000000}">
      <text>
        <r>
          <rPr>
            <sz val="9"/>
            <color indexed="81"/>
            <rFont val="Tahoma"/>
            <family val="2"/>
          </rPr>
          <t>3 môn: 6, bơi: 6, Võ: 8=20VĐV</t>
        </r>
      </text>
    </comment>
    <comment ref="D81" authorId="0" shapeId="0" xr:uid="{00000000-0006-0000-0400-000006000000}">
      <text>
        <r>
          <rPr>
            <sz val="9"/>
            <color indexed="81"/>
            <rFont val="Tahoma"/>
            <family val="2"/>
          </rPr>
          <t>4 cụm x 3 xa x 25VĐV</t>
        </r>
        <r>
          <rPr>
            <sz val="9"/>
            <color indexed="81"/>
            <rFont val="Tahoma"/>
            <family val="2"/>
          </rPr>
          <t xml:space="preserve">
</t>
        </r>
      </text>
    </comment>
    <comment ref="E90" authorId="0" shapeId="0" xr:uid="{00000000-0006-0000-0400-000007000000}">
      <text>
        <r>
          <rPr>
            <sz val="9"/>
            <color indexed="81"/>
            <rFont val="Tahoma"/>
            <family val="2"/>
          </rPr>
          <t xml:space="preserve">Phó CHT trực 50% số ngày
</t>
        </r>
      </text>
    </comment>
    <comment ref="E91" authorId="0" shapeId="0" xr:uid="{00000000-0006-0000-0400-000008000000}">
      <text>
        <r>
          <rPr>
            <sz val="9"/>
            <color indexed="81"/>
            <rFont val="Tahoma"/>
            <family val="2"/>
          </rPr>
          <t>tết dlich: 1 ngày, âm lịch: 5 ngày, Giỗ tổ: 1 ngày, 30/4-1/5: 2 ngày, Qkhanh 1 ngày. Tổng 10 ngày/năm</t>
        </r>
        <r>
          <rPr>
            <sz val="9"/>
            <color indexed="81"/>
            <rFont val="Tahoma"/>
            <family val="2"/>
          </rPr>
          <t xml:space="preserve">
</t>
        </r>
      </text>
    </comment>
    <comment ref="E94" authorId="0" shapeId="0" xr:uid="{00000000-0006-0000-0400-000009000000}">
      <text>
        <r>
          <rPr>
            <sz val="9"/>
            <color indexed="81"/>
            <rFont val="Tahoma"/>
            <family val="2"/>
          </rPr>
          <t>tết dlich: 1 ngày, âm lịch: 5 ngày, Giỗ tổ: 1 ngày, 30/4-1/5: 2 ngày, Qkhanh 1 ngày. Tổng 10 ngày/năm</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12" authorId="0" shapeId="0" xr:uid="{4E3091CA-EE53-4AB6-B287-69F99CF42E67}">
      <text>
        <r>
          <rPr>
            <sz val="9"/>
            <color indexed="81"/>
            <rFont val="Tahoma"/>
            <family val="2"/>
          </rPr>
          <t>Tiền/người/năm
105.300đ/tháng</t>
        </r>
      </text>
    </comment>
    <comment ref="C13" authorId="0" shapeId="0" xr:uid="{B190FC2B-F11E-40E1-81EB-C8988BC6916C}">
      <text>
        <r>
          <rPr>
            <sz val="9"/>
            <color indexed="81"/>
            <rFont val="Tahoma"/>
            <family val="2"/>
          </rPr>
          <t xml:space="preserve">330.000đ/người/tháng
</t>
        </r>
      </text>
    </comment>
    <comment ref="C19" authorId="0" shapeId="0" xr:uid="{7E939353-6134-435D-92AB-18CF936E9CD2}">
      <text>
        <r>
          <rPr>
            <sz val="9"/>
            <color indexed="81"/>
            <rFont val="Tahoma"/>
            <family val="2"/>
          </rPr>
          <t>Tiền/người/năm
105.300đ/tháng</t>
        </r>
      </text>
    </comment>
    <comment ref="C20" authorId="0" shapeId="0" xr:uid="{EF1D7D3C-8593-4396-9B6B-E9B3EB8A6C02}">
      <text>
        <r>
          <rPr>
            <sz val="9"/>
            <color indexed="81"/>
            <rFont val="Tahoma"/>
            <family val="2"/>
          </rPr>
          <t xml:space="preserve">330.000đ/người/tháng
</t>
        </r>
      </text>
    </comment>
    <comment ref="D30" authorId="0" shapeId="0" xr:uid="{7CF5B7C5-F895-4FB3-8138-16CA063CF986}">
      <text>
        <r>
          <rPr>
            <sz val="9"/>
            <color indexed="81"/>
            <rFont val="Tahoma"/>
            <family val="2"/>
          </rPr>
          <t>3 môn: 6, bơi: 6, Võ: 8=20VĐV</t>
        </r>
      </text>
    </comment>
    <comment ref="D33" authorId="0" shapeId="0" xr:uid="{F24934D6-4978-4B15-9F3C-B04E14AD665D}">
      <text>
        <r>
          <rPr>
            <sz val="9"/>
            <color indexed="81"/>
            <rFont val="Tahoma"/>
            <family val="2"/>
          </rPr>
          <t>4 cụm x 3 xa x 25VĐV</t>
        </r>
        <r>
          <rPr>
            <sz val="9"/>
            <color indexed="81"/>
            <rFont val="Tahoma"/>
            <family val="2"/>
          </rPr>
          <t xml:space="preserve">
</t>
        </r>
      </text>
    </comment>
    <comment ref="E42" authorId="0" shapeId="0" xr:uid="{845A3508-678D-4233-B0C2-96F7AABBB640}">
      <text>
        <r>
          <rPr>
            <sz val="9"/>
            <color indexed="81"/>
            <rFont val="Tahoma"/>
            <family val="2"/>
          </rPr>
          <t xml:space="preserve">Phó CHT trực 50% số ngày
</t>
        </r>
      </text>
    </comment>
    <comment ref="E43" authorId="0" shapeId="0" xr:uid="{A6CCA91E-FE4B-47CE-A1EC-BFE3D0338CC4}">
      <text>
        <r>
          <rPr>
            <sz val="9"/>
            <color indexed="81"/>
            <rFont val="Tahoma"/>
            <family val="2"/>
          </rPr>
          <t>tết dlich: 1 ngày, âm lịch: 5 ngày, Giỗ tổ: 1 ngày, 30/4-1/5: 2 ngày, Qkhanh 1 ngày. Tổng 10 ngày/năm</t>
        </r>
        <r>
          <rPr>
            <sz val="9"/>
            <color indexed="81"/>
            <rFont val="Tahoma"/>
            <family val="2"/>
          </rPr>
          <t xml:space="preserve">
</t>
        </r>
      </text>
    </comment>
    <comment ref="E46" authorId="0" shapeId="0" xr:uid="{0629D2F2-CF47-48CF-B3A4-BF8A5594CE4E}">
      <text>
        <r>
          <rPr>
            <sz val="9"/>
            <color indexed="81"/>
            <rFont val="Tahoma"/>
            <family val="2"/>
          </rPr>
          <t>tết dlich: 1 ngày, âm lịch: 5 ngày, Giỗ tổ: 1 ngày, 30/4-1/5: 2 ngày, Qkhanh 1 ngày. Tổng 10 ngày/năm</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36" authorId="0" shapeId="0" xr:uid="{00000000-0006-0000-0500-000001000000}">
      <text>
        <r>
          <rPr>
            <sz val="9"/>
            <color indexed="81"/>
            <rFont val="Tahoma"/>
            <family val="2"/>
          </rPr>
          <t xml:space="preserve">64 ban chqs cấp xã
58b DQTT thiếu cấp xã, 6aDQTT
1 Hải đội
</t>
        </r>
      </text>
    </comment>
    <comment ref="F37" authorId="0" shapeId="0" xr:uid="{00000000-0006-0000-0500-000002000000}">
      <text>
        <r>
          <rPr>
            <sz val="8"/>
            <color indexed="81"/>
            <rFont val="Tahoma"/>
            <family val="2"/>
          </rPr>
          <t>trừ 52 tuần x 2 ngày T7,CN = 104 ngày</t>
        </r>
        <r>
          <rPr>
            <sz val="9"/>
            <color indexed="81"/>
            <rFont val="Tahoma"/>
            <family val="2"/>
          </rPr>
          <t xml:space="preserve">
</t>
        </r>
      </text>
    </comment>
    <comment ref="C39" authorId="0" shapeId="0" xr:uid="{00000000-0006-0000-0500-000003000000}">
      <text>
        <r>
          <rPr>
            <sz val="9"/>
            <color indexed="81"/>
            <rFont val="Tahoma"/>
            <family val="2"/>
          </rPr>
          <t xml:space="preserve">40 xã, phường
</t>
        </r>
      </text>
    </comment>
    <comment ref="C40" authorId="0" shapeId="0" xr:uid="{00000000-0006-0000-0500-000004000000}">
      <text>
        <r>
          <rPr>
            <sz val="9"/>
            <color indexed="81"/>
            <rFont val="Tahoma"/>
            <family val="2"/>
          </rPr>
          <t>18 xã, phường ven biển
26, xã, phường ven biển</t>
        </r>
      </text>
    </comment>
    <comment ref="C43" authorId="0" shapeId="0" xr:uid="{00000000-0006-0000-0500-000005000000}">
      <text>
        <r>
          <rPr>
            <sz val="9"/>
            <color indexed="81"/>
            <rFont val="Tahoma"/>
            <family val="2"/>
          </rPr>
          <t xml:space="preserve">ko quá 10% Ban CHQS cấp xã, CQTC, đơn vị DQTT, cơ động
</t>
        </r>
      </text>
    </comment>
    <comment ref="E43" authorId="0" shapeId="0" xr:uid="{00000000-0006-0000-0500-000006000000}">
      <text>
        <r>
          <rPr>
            <sz val="9"/>
            <color indexed="81"/>
            <rFont val="Tahoma"/>
            <family val="2"/>
          </rPr>
          <t>0,8 lương cơ sở
1.880.000đ/dvi</t>
        </r>
      </text>
    </comment>
    <comment ref="C44" authorId="0" shapeId="0" xr:uid="{00000000-0006-0000-0500-000007000000}">
      <text>
        <r>
          <rPr>
            <sz val="8"/>
            <color indexed="81"/>
            <rFont val="Tahoma"/>
            <family val="2"/>
          </rPr>
          <t>Ko quá 5% chức vụ chỉ huy DQTV, quân số DQ cơ động, thường trực</t>
        </r>
        <r>
          <rPr>
            <sz val="9"/>
            <color indexed="81"/>
            <rFont val="Tahoma"/>
            <family val="2"/>
          </rPr>
          <t xml:space="preserve">
</t>
        </r>
      </text>
    </comment>
    <comment ref="E44" authorId="0" shapeId="0" xr:uid="{00000000-0006-0000-0500-000008000000}">
      <text>
        <r>
          <rPr>
            <sz val="9"/>
            <color indexed="81"/>
            <rFont val="Tahoma"/>
            <family val="2"/>
          </rPr>
          <t>=1,0 Lương cơ sở
2.340.000đ/người</t>
        </r>
      </text>
    </comment>
    <comment ref="C45" authorId="0" shapeId="0" xr:uid="{00000000-0006-0000-0500-000009000000}">
      <text>
        <r>
          <rPr>
            <sz val="9"/>
            <color indexed="81"/>
            <rFont val="Tahoma"/>
            <family val="2"/>
          </rPr>
          <t>Ko quá 10% các chức vụ chỉ huy DQTV, quân số DQTT, DQ cơ động</t>
        </r>
      </text>
    </comment>
    <comment ref="E45" authorId="0" shapeId="0" xr:uid="{00000000-0006-0000-0500-00000A000000}">
      <text>
        <r>
          <rPr>
            <sz val="9"/>
            <color indexed="81"/>
            <rFont val="Tahoma"/>
            <family val="2"/>
          </rPr>
          <t>=0,3 luong cơ sở
710.000đ/người</t>
        </r>
      </text>
    </comment>
  </commentList>
</comments>
</file>

<file path=xl/sharedStrings.xml><?xml version="1.0" encoding="utf-8"?>
<sst xmlns="http://schemas.openxmlformats.org/spreadsheetml/2006/main" count="1379" uniqueCount="374">
  <si>
    <t>Biển</t>
  </si>
  <si>
    <t>Đơn vị
DQTV</t>
  </si>
  <si>
    <t>Tổng số</t>
  </si>
  <si>
    <t>Tổ chức</t>
  </si>
  <si>
    <t>Quân
số</t>
  </si>
  <si>
    <t>Trung
đội</t>
  </si>
  <si>
    <t>Đại 
đội</t>
  </si>
  <si>
    <t>Tiểu
đội</t>
  </si>
  <si>
    <t>Khẩu
đội</t>
  </si>
  <si>
    <t>c</t>
  </si>
  <si>
    <t>b</t>
  </si>
  <si>
    <t>a</t>
  </si>
  <si>
    <t>Tổ</t>
  </si>
  <si>
    <t>Tại chỗ</t>
  </si>
  <si>
    <t>Kđ</t>
  </si>
  <si>
    <t>Thành phần lực lượng DQTV</t>
  </si>
  <si>
    <t>Đơn vị DQTV/
cấp tỉnh</t>
  </si>
  <si>
    <t>Pháo PK 37mm</t>
  </si>
  <si>
    <t>Hải đội DQTT</t>
  </si>
  <si>
    <t>Thường 
trực</t>
  </si>
  <si>
    <t>Cơ 
động</t>
  </si>
  <si>
    <t>Phòng
không</t>
  </si>
  <si>
    <t>Pháo 
binh</t>
  </si>
  <si>
    <t>Dân quân</t>
  </si>
  <si>
    <t>Tự vệ</t>
  </si>
  <si>
    <t>Đơn vị DQ/
cấp xã</t>
  </si>
  <si>
    <t>Đơn vị Tự vệ</t>
  </si>
  <si>
    <t>TỔNG</t>
  </si>
  <si>
    <t>TT</t>
  </si>
  <si>
    <t>Loại trang phục</t>
  </si>
  <si>
    <t>ĐVT</t>
  </si>
  <si>
    <t>Đơn giá
(đồng)</t>
  </si>
  <si>
    <t>SL</t>
  </si>
  <si>
    <t>Thành tiền
(đồng)</t>
  </si>
  <si>
    <t>Tổng 5 năm
(đồng)</t>
  </si>
  <si>
    <t>I</t>
  </si>
  <si>
    <t>Chỉ huy trưởng</t>
  </si>
  <si>
    <t>Quần áo</t>
  </si>
  <si>
    <t>Giày da</t>
  </si>
  <si>
    <t>Giày vải</t>
  </si>
  <si>
    <t>Tất chân</t>
  </si>
  <si>
    <t>Dây lưng nhỏ</t>
  </si>
  <si>
    <t>Quần áo mưa</t>
  </si>
  <si>
    <t>Chính trị viên</t>
  </si>
  <si>
    <t>Phó Chỉ huy trưởng</t>
  </si>
  <si>
    <t>Chính trị viên phó</t>
  </si>
  <si>
    <t>Trung đội trưởng 
DQ cơ động</t>
  </si>
  <si>
    <t>II</t>
  </si>
  <si>
    <t>III</t>
  </si>
  <si>
    <t>Tấm đi mưa</t>
  </si>
  <si>
    <t>IV</t>
  </si>
  <si>
    <t>Dân quân thường trực</t>
  </si>
  <si>
    <t>Dân quân cơ động</t>
  </si>
  <si>
    <t>Dân quân tại chỗ</t>
  </si>
  <si>
    <t>V</t>
  </si>
  <si>
    <t>VI</t>
  </si>
  <si>
    <t>Dân quân biển</t>
  </si>
  <si>
    <t>VII</t>
  </si>
  <si>
    <t>VIII</t>
  </si>
  <si>
    <t>IX</t>
  </si>
  <si>
    <t>Bộ</t>
  </si>
  <si>
    <t>Cái</t>
  </si>
  <si>
    <t>Đôi</t>
  </si>
  <si>
    <t>Tấm</t>
  </si>
  <si>
    <t>DQ năm thứ nhất</t>
  </si>
  <si>
    <t>Hải
đội</t>
  </si>
  <si>
    <t>Đối tượng</t>
  </si>
  <si>
    <t>Quần
 áo</t>
  </si>
  <si>
    <t>Giày
da</t>
  </si>
  <si>
    <t>Giày
vải</t>
  </si>
  <si>
    <t>Tất 
chân</t>
  </si>
  <si>
    <t>Mũ
cứng
sao mũ</t>
  </si>
  <si>
    <t>Mũ mềm
sao mũ</t>
  </si>
  <si>
    <t>Dây
lưng</t>
  </si>
  <si>
    <t>Áo ấm</t>
  </si>
  <si>
    <t>-</t>
  </si>
  <si>
    <t>a trưởng, csĩ DQ thường trực</t>
  </si>
  <si>
    <t>a trưởng, chiến sĩ DQ tại chỗ, Bchủng</t>
  </si>
  <si>
    <r>
      <t>2 năm:</t>
    </r>
    <r>
      <rPr>
        <sz val="11"/>
        <color theme="1"/>
        <rFont val="Calibri"/>
        <family val="2"/>
        <scheme val="minor"/>
      </rPr>
      <t xml:space="preserve"> Mũ cứng, mũ mềm, dây lưng</t>
    </r>
  </si>
  <si>
    <r>
      <t>1 năm:</t>
    </r>
    <r>
      <rPr>
        <sz val="11"/>
        <color theme="1"/>
        <rFont val="Calibri"/>
        <family val="2"/>
        <scheme val="minor"/>
      </rPr>
      <t xml:space="preserve"> Tất (2đôi/năm)</t>
    </r>
  </si>
  <si>
    <t>Chiếu</t>
  </si>
  <si>
    <t>QUY HOẠCH
CẤP TRANG PHỤC DQTV THEO LUẬT 2019-NGHỊ ĐỊNH 72-2020</t>
  </si>
  <si>
    <r>
      <t xml:space="preserve">2 năm: </t>
    </r>
    <r>
      <rPr>
        <sz val="11"/>
        <color theme="1"/>
        <rFont val="Calibri"/>
        <family val="2"/>
        <scheme val="minor"/>
      </rPr>
      <t>Quần áo, giày da đen, giày vải (mỗi loại 1bộ (đôi))</t>
    </r>
  </si>
  <si>
    <r>
      <t xml:space="preserve">3 năm: </t>
    </r>
    <r>
      <rPr>
        <sz val="11"/>
        <color theme="1"/>
        <rFont val="Calibri"/>
        <family val="2"/>
        <scheme val="minor"/>
      </rPr>
      <t>Quần áo mưa (1bộ)</t>
    </r>
  </si>
  <si>
    <r>
      <t>2 năm:</t>
    </r>
    <r>
      <rPr>
        <sz val="11"/>
        <color theme="1"/>
        <rFont val="Calibri"/>
        <family val="2"/>
        <scheme val="minor"/>
      </rPr>
      <t xml:space="preserve"> Mũ cứng, mũ mềm, dây lưng, caravat, Giày da đen (1cái, 1 đôi)</t>
    </r>
  </si>
  <si>
    <r>
      <t xml:space="preserve">3 năm: </t>
    </r>
    <r>
      <rPr>
        <sz val="11"/>
        <color theme="1"/>
        <rFont val="Calibri"/>
        <family val="2"/>
        <scheme val="minor"/>
      </rPr>
      <t>Mũ cứng, mũ mềm, dây lưng, quần áo mưa, calavat (mỗi thứ 01 cái)</t>
    </r>
  </si>
  <si>
    <r>
      <t>1 năm:</t>
    </r>
    <r>
      <rPr>
        <sz val="11"/>
        <color theme="1"/>
        <rFont val="Calibri"/>
        <family val="2"/>
        <scheme val="minor"/>
      </rPr>
      <t xml:space="preserve"> Quần áo, giày vải, tất (1 bộ đồ, 1 đôi giày vải, 2đôi tất/năm)</t>
    </r>
  </si>
  <si>
    <r>
      <rPr>
        <b/>
        <sz val="12"/>
        <rFont val="Times New Roman"/>
        <family val="1"/>
      </rPr>
      <t>Năm đầu:</t>
    </r>
    <r>
      <rPr>
        <sz val="12"/>
        <rFont val="Times New Roman"/>
        <family val="1"/>
      </rPr>
      <t xml:space="preserve"> 2 bộ quân áo, 2 đôi tất, mỗi thứ còn lại 01 cái (bộ, đôi)</t>
    </r>
  </si>
  <si>
    <t>Niên
hạn</t>
  </si>
  <si>
    <t>DQ tại chỗ, binh chủng PK, PB
TT, TS, CB, PH, Y tế</t>
  </si>
  <si>
    <t>Quần
lớt</t>
  </si>
  <si>
    <t>Áo
lót</t>
  </si>
  <si>
    <t>Khăn
mặt</t>
  </si>
  <si>
    <t>Chăn</t>
  </si>
  <si>
    <t>Màn</t>
  </si>
  <si>
    <t>Gối</t>
  </si>
  <si>
    <t>Đệm
giường</t>
  </si>
  <si>
    <t>Quần, áo
mưa</t>
  </si>
  <si>
    <t>Trang phục dùng chung DQTV</t>
  </si>
  <si>
    <r>
      <rPr>
        <b/>
        <sz val="12"/>
        <rFont val="Times New Roman"/>
        <family val="1"/>
      </rPr>
      <t>Năm đầu:</t>
    </r>
    <r>
      <rPr>
        <sz val="12"/>
        <rFont val="Times New Roman"/>
        <family val="1"/>
      </rPr>
      <t xml:space="preserve"> 2 bộ quân áo, 2 quần(áo) lót, 2 khăn mặt, 2 đôi tất, Mỗi thứ còn lại 1 cái (đôi), </t>
    </r>
  </si>
  <si>
    <r>
      <t xml:space="preserve">2 năm: </t>
    </r>
    <r>
      <rPr>
        <sz val="11"/>
        <color theme="1"/>
        <rFont val="Calibri"/>
        <family val="2"/>
        <scheme val="minor"/>
      </rPr>
      <t>Mũ cứng, mũ mềm, caravat, dây lưng, chăn, màn, gối</t>
    </r>
  </si>
  <si>
    <r>
      <t xml:space="preserve">3 năm: </t>
    </r>
    <r>
      <rPr>
        <sz val="12"/>
        <rFont val="Times New Roman"/>
        <family val="1"/>
      </rPr>
      <t>Quần áo mưa (1bộ)</t>
    </r>
  </si>
  <si>
    <r>
      <t xml:space="preserve">4 năm: </t>
    </r>
    <r>
      <rPr>
        <sz val="12"/>
        <rFont val="Times New Roman"/>
        <family val="1"/>
      </rPr>
      <t>Đệm giường, Ba lô</t>
    </r>
  </si>
  <si>
    <r>
      <rPr>
        <b/>
        <sz val="12"/>
        <rFont val="Times New Roman"/>
        <family val="1"/>
      </rPr>
      <t>Năm đầu:</t>
    </r>
    <r>
      <rPr>
        <sz val="12"/>
        <rFont val="Times New Roman"/>
        <family val="1"/>
      </rPr>
      <t xml:space="preserve"> 2 bộ quần áo, 2 quần(áo) lót, 2 khăn mặt, 2 đôi giày vải, 2 đôi tất, Mỗi thứ còn lại 1 cái (đôi)</t>
    </r>
  </si>
  <si>
    <r>
      <t xml:space="preserve">1 năm: </t>
    </r>
    <r>
      <rPr>
        <sz val="11"/>
        <color theme="1"/>
        <rFont val="Calibri"/>
        <family val="2"/>
        <scheme val="minor"/>
      </rPr>
      <t>1 bộ quần áo, 2 quần áo lót, 2 khăn mặt, 2 đôi tất, 1 đôi giày da đen, 1 đôi giày vải, 1 chiếu</t>
    </r>
  </si>
  <si>
    <r>
      <t>1 năm: 2</t>
    </r>
    <r>
      <rPr>
        <sz val="11"/>
        <color theme="1"/>
        <rFont val="Calibri"/>
        <family val="2"/>
        <scheme val="minor"/>
      </rPr>
      <t xml:space="preserve"> bộ quần áo, 2 quần áo lót, 2 khăn mặt, 2 đôi tất, 2 đôi giày vải, 1 chiếu, 1 áo ấm</t>
    </r>
  </si>
  <si>
    <r>
      <t xml:space="preserve">2 năm: </t>
    </r>
    <r>
      <rPr>
        <sz val="11"/>
        <color theme="1"/>
        <rFont val="Calibri"/>
        <family val="2"/>
        <scheme val="minor"/>
      </rPr>
      <t>Mũ cứng, mũ mềm, dây lưng, chăn, màn, gối, áo mưa.</t>
    </r>
  </si>
  <si>
    <r>
      <t xml:space="preserve">1 năm: </t>
    </r>
    <r>
      <rPr>
        <sz val="12"/>
        <rFont val="Times New Roman"/>
        <family val="1"/>
      </rPr>
      <t>Quần áo, giày vải, tất</t>
    </r>
    <r>
      <rPr>
        <b/>
        <sz val="12"/>
        <rFont val="Times New Roman"/>
        <family val="1"/>
      </rPr>
      <t xml:space="preserve"> </t>
    </r>
    <r>
      <rPr>
        <sz val="12"/>
        <rFont val="Times New Roman"/>
        <family val="1"/>
      </rPr>
      <t>(1 bộ đồ, 1 đôi giày vải, 2đôi tất/năm)</t>
    </r>
  </si>
  <si>
    <r>
      <t>2 năm:</t>
    </r>
    <r>
      <rPr>
        <sz val="11"/>
        <color theme="1"/>
        <rFont val="Calibri"/>
        <family val="2"/>
        <scheme val="minor"/>
      </rPr>
      <t xml:space="preserve"> Quần áo, dây lưng, bít tất, giày vải (2 bộ quần áo, 2 đôi tất, 1 dây lưng, 1 đôi giày vải/2 năm)</t>
    </r>
  </si>
  <si>
    <r>
      <t xml:space="preserve">3 năm: </t>
    </r>
    <r>
      <rPr>
        <sz val="11"/>
        <color theme="1"/>
        <rFont val="Calibri"/>
        <family val="2"/>
        <scheme val="minor"/>
      </rPr>
      <t>Mũ cứng, mũ mềm, áo mưa</t>
    </r>
  </si>
  <si>
    <t>Ba lô</t>
  </si>
  <si>
    <t>Áo mưa</t>
  </si>
  <si>
    <t>Quần lót</t>
  </si>
  <si>
    <t>Áo lót</t>
  </si>
  <si>
    <t>Khăn mặt</t>
  </si>
  <si>
    <t>DQ năm thứ hai trở đi</t>
  </si>
  <si>
    <t>TỔNG CỘNG</t>
  </si>
  <si>
    <t>*</t>
  </si>
  <si>
    <t>Đối tượng
chế độ hưởng</t>
  </si>
  <si>
    <t>Các chức vụ Chỉ huy
Ban CHQS cấp xã</t>
  </si>
  <si>
    <t>Số
người</t>
  </si>
  <si>
    <t>Phụ cấp chức vụ</t>
  </si>
  <si>
    <t>Phụ cấp thâm niên</t>
  </si>
  <si>
    <t>Phụ cấp tháng</t>
  </si>
  <si>
    <t>Hải đội trưởng DQTT</t>
  </si>
  <si>
    <t>CTV Hải đội DQTT</t>
  </si>
  <si>
    <t>Phó Hải đội trưởng DQTT</t>
  </si>
  <si>
    <t>Trung đội trưởng DQ</t>
  </si>
  <si>
    <t>Tiểu đội trưởng DQTT</t>
  </si>
  <si>
    <t>Phụ cấp đặc thù QPQS</t>
  </si>
  <si>
    <t>Tiểu đội trưởng DQCĐ</t>
  </si>
  <si>
    <t>Trung đội trưởng CĐ</t>
  </si>
  <si>
    <t>Trung đội trưởng DQCĐ</t>
  </si>
  <si>
    <t>Ghi chú: Dự kiến mỗi năm giá các mặt hàng tăng 3%</t>
  </si>
  <si>
    <t>Tiền ăn</t>
  </si>
  <si>
    <t>Trung đội cơ động</t>
  </si>
  <si>
    <t>DQ phòng không</t>
  </si>
  <si>
    <t>DQ pháo binh</t>
  </si>
  <si>
    <t>DQ Trinh sát</t>
  </si>
  <si>
    <t>DQ Công binh</t>
  </si>
  <si>
    <t>X</t>
  </si>
  <si>
    <t>DQ Thông tin</t>
  </si>
  <si>
    <t>XI</t>
  </si>
  <si>
    <t>DQ Phòng hóa</t>
  </si>
  <si>
    <t>DQ Y tế</t>
  </si>
  <si>
    <t>DQ biển</t>
  </si>
  <si>
    <t>Số 
ngày
huy động</t>
  </si>
  <si>
    <t>DQ tại chỗ</t>
  </si>
  <si>
    <t>XII</t>
  </si>
  <si>
    <t>HL: 12 ngày/năm</t>
  </si>
  <si>
    <t>Ghi chú</t>
  </si>
  <si>
    <t>Loại vật chất</t>
  </si>
  <si>
    <t>Tổng 
5 năm</t>
  </si>
  <si>
    <t>Công cụ hỗ trợ</t>
  </si>
  <si>
    <t>Roi điện</t>
  </si>
  <si>
    <t>Trường côn</t>
  </si>
  <si>
    <t>Khóa số 8</t>
  </si>
  <si>
    <t>Bộ ốp bảo vệ chân</t>
  </si>
  <si>
    <t>Bộ ốp bảo vệ tay</t>
  </si>
  <si>
    <t>Đèn pin nghiệp vụ</t>
  </si>
  <si>
    <t>Loa tay</t>
  </si>
  <si>
    <t>Bảo đảm cơ sở vật chất</t>
  </si>
  <si>
    <t>Bàn ghế giao ban, hội họp</t>
  </si>
  <si>
    <t xml:space="preserve">Biển tên trụ sở Ban CHQS </t>
  </si>
  <si>
    <t>Tủ đựng công cụ hỗ trợ</t>
  </si>
  <si>
    <t>Tủ đựng tài liệu</t>
  </si>
  <si>
    <t>Bảng lịch công tác</t>
  </si>
  <si>
    <t>Bảng chức trách nhiệm vụ</t>
  </si>
  <si>
    <t>Biển tên chức danh để bàn</t>
  </si>
  <si>
    <t>Báo Quân đội nhân dân</t>
  </si>
  <si>
    <t xml:space="preserve"> -</t>
  </si>
  <si>
    <t>Tờ</t>
  </si>
  <si>
    <t>Bộ bia bắn bờ (4, 7, 8)</t>
  </si>
  <si>
    <t>Bộ bia bắn biển (4, 7, 8)</t>
  </si>
  <si>
    <t>Dùi cui cao su dài 50cm</t>
  </si>
  <si>
    <t>Lá chắn 1400x800x6mm</t>
  </si>
  <si>
    <t>Mũ chống bạo loạn có lưới</t>
  </si>
  <si>
    <t>Trang thiết bị nhà làm việc Ban CHQS cấp xã</t>
  </si>
  <si>
    <t>1 bộ/xã (P,TT)</t>
  </si>
  <si>
    <t>1 cái/1 xã (P,TT)</t>
  </si>
  <si>
    <t>5 cái/1 xã (P,TT)</t>
  </si>
  <si>
    <t>Th/trực 365 ngày</t>
  </si>
  <si>
    <t>Pl2+pl3+pl4+pl5=</t>
  </si>
  <si>
    <t>Phụ lục 1</t>
  </si>
  <si>
    <t>Phụ lục 3</t>
  </si>
  <si>
    <t>Phụ lục 5</t>
  </si>
  <si>
    <t>Khen thưởng cá nhân CSTĐ</t>
  </si>
  <si>
    <t>Khen thưởng cá nhân CSTT</t>
  </si>
  <si>
    <t>Khen thưởng đơn vị tiên tiến</t>
  </si>
  <si>
    <t>Trang phục</t>
  </si>
  <si>
    <t>HL: 15 ngày/năm</t>
  </si>
  <si>
    <t>Cộng</t>
  </si>
  <si>
    <t>PHÂN KỲ</t>
  </si>
  <si>
    <t>CỘNG</t>
  </si>
  <si>
    <t>a trưởng, c/sĩ DQTT</t>
  </si>
  <si>
    <t>Phụ cấp chức vụ chỉ
huy đơn vị DQ</t>
  </si>
  <si>
    <t>Trợ cấp 1 lần (1 năm)</t>
  </si>
  <si>
    <t>Cấp tỉnh</t>
  </si>
  <si>
    <t>Quân khu</t>
  </si>
  <si>
    <t>Bảo đảm khác</t>
  </si>
  <si>
    <t>Ban CHQS</t>
  </si>
  <si>
    <t>Số
lượng</t>
  </si>
  <si>
    <t>Mức hưởng
bình quân
/người
/năm</t>
  </si>
  <si>
    <r>
      <t>Mức hưởng
/</t>
    </r>
    <r>
      <rPr>
        <b/>
        <sz val="10"/>
        <color indexed="8"/>
        <rFont val="Times New Roman"/>
        <family val="1"/>
      </rPr>
      <t>người
/ngày</t>
    </r>
  </si>
  <si>
    <t>Công cụ, vũ khí thô sơ, trang thiết bị nhà làm việc, khen thưởng …</t>
  </si>
  <si>
    <t>Trợ cấp ngày công LĐ</t>
  </si>
  <si>
    <t>Đóng BHYT (1 năm)</t>
  </si>
  <si>
    <t>Đóng BHXH (1 năm)</t>
  </si>
  <si>
    <t>Năm 2014 ra 50%,
50% còn lại 3 năm ra</t>
  </si>
  <si>
    <t>DQ cơ động</t>
  </si>
  <si>
    <t>Két sắt đựng tài liệu mật</t>
  </si>
  <si>
    <t>Cấp xã</t>
  </si>
  <si>
    <t>Đvị</t>
  </si>
  <si>
    <t>Người</t>
  </si>
  <si>
    <t>B</t>
  </si>
  <si>
    <t>DIỄN TẬP</t>
  </si>
  <si>
    <t>A</t>
  </si>
  <si>
    <t>HUẤN LUYỆN, BẢO HIỂM, TRỢ CẤP</t>
  </si>
  <si>
    <t>(2 huyện/năm)</t>
  </si>
  <si>
    <t>C</t>
  </si>
  <si>
    <t>HỘI THAO</t>
  </si>
  <si>
    <t>Áo chống đâm</t>
  </si>
  <si>
    <t>Tổng khái toán</t>
  </si>
  <si>
    <t>Bia, cờ huấn luyện chiến thuật</t>
  </si>
  <si>
    <t>3 bộ/huyện ven biển</t>
  </si>
  <si>
    <t>4 cái/1 xã (P,TT)</t>
  </si>
  <si>
    <t>3 cái/1 xã (P,TT)</t>
  </si>
  <si>
    <t>1 cái/xã trọng điểm</t>
  </si>
  <si>
    <t xml:space="preserve">                                    Năm
Nội dung</t>
  </si>
  <si>
    <t xml:space="preserve">Phụ lục </t>
  </si>
  <si>
    <t>Kinh phí bảo đảm trang phục cho lực lượng dân quân</t>
  </si>
  <si>
    <t xml:space="preserve">Kinh phí bảo đảm công cụ, vũ khí thô sơ, phương tiện, trang thiết bị, vật chất làm việc, vật chất huấn luyện, khen thưởng </t>
  </si>
  <si>
    <t xml:space="preserve">                                 Nội dung</t>
  </si>
  <si>
    <t xml:space="preserve">Bộ CHQS tỉnh đề nghị </t>
  </si>
  <si>
    <t>Pháo 76,2mm</t>
  </si>
  <si>
    <t>Năm 2026</t>
  </si>
  <si>
    <t>Năm 2027</t>
  </si>
  <si>
    <t>Năm 2028</t>
  </si>
  <si>
    <t>Năm 2029</t>
  </si>
  <si>
    <t>Năm 2030</t>
  </si>
  <si>
    <t>Năm đầu (2026)</t>
  </si>
  <si>
    <t>Năm 2 (2027)</t>
  </si>
  <si>
    <t>Năm 3 (2028)</t>
  </si>
  <si>
    <t>Năm 4 (2029)</t>
  </si>
  <si>
    <t>Năm 5 (2030)</t>
  </si>
  <si>
    <r>
      <rPr>
        <b/>
        <sz val="12"/>
        <color indexed="8"/>
        <rFont val="Times New Roman"/>
        <family val="1"/>
      </rPr>
      <t>Hệ số lương bình quân</t>
    </r>
    <r>
      <rPr>
        <b/>
        <sz val="12"/>
        <color indexed="8"/>
        <rFont val="Times New Roman"/>
        <family val="1"/>
      </rPr>
      <t xml:space="preserve"> 
CHT:3.0, CHTV: 3.8, CTVP: 3.0; PCHT: 2.1</t>
    </r>
  </si>
  <si>
    <t>Thuyền trưởng Hải đội DQTT</t>
  </si>
  <si>
    <t>Thuyền trưởng HĐ DQTT</t>
  </si>
  <si>
    <t>Tổng
quân
số</t>
  </si>
  <si>
    <t>Mũ mềm</t>
  </si>
  <si>
    <t>Tự vệ tại chỗ</t>
  </si>
  <si>
    <t>Ban CHQS cơ quan,
 tổ chức</t>
  </si>
  <si>
    <t>Trung đội trưởng 
DQ tại chỗ</t>
  </si>
  <si>
    <t>Trung đội trưởng DQTT</t>
  </si>
  <si>
    <t>Chính trị viên cPK, cPB</t>
  </si>
  <si>
    <t>Đại đội trưởng cPK, cPB</t>
  </si>
  <si>
    <t>Phó Đại đội trưởng cPK, cPB</t>
  </si>
  <si>
    <t>Chính trị viên phó cPK, cPB</t>
  </si>
  <si>
    <t>Tiểu đội trưởng, KĐT</t>
  </si>
  <si>
    <t>Diễn tập KVPT tỉnh</t>
  </si>
  <si>
    <t>Trợ cấp 1 lần (25%/năm)</t>
  </si>
  <si>
    <t>HL: 7 ngày/năm</t>
  </si>
  <si>
    <t>2b/huyện</t>
  </si>
  <si>
    <t>HL và diễn 12 ngày</t>
  </si>
  <si>
    <t>5 năm 1 lần</t>
  </si>
  <si>
    <t>làm thao trường, HL và diễn 30 ngày</t>
  </si>
  <si>
    <t>1tờ/ngày (129xã + 8bDQTT + 64aDQTT + Hải đội)</t>
  </si>
  <si>
    <t>Chỉ trang bị những nội dung chưa có</t>
  </si>
  <si>
    <t>Tủ trang phục DQ dùng chung</t>
  </si>
  <si>
    <t>10% Ban CHQS cấp xã, CQTC, đơn vị DQCĐ, DQTT</t>
  </si>
  <si>
    <t>1 chiếc/1 xã (P) năm đầu đủ</t>
  </si>
  <si>
    <t>1 cái/1 xã (P,TT), 20%/năm</t>
  </si>
  <si>
    <t>1 cái/1 xã (P,TT) 2 năm đầu đủ</t>
  </si>
  <si>
    <t>Phụ lục 2A</t>
  </si>
  <si>
    <t>Phụ lục 2B</t>
  </si>
  <si>
    <t>Giai đoạn
2026-2030</t>
  </si>
  <si>
    <t>Năm
2026</t>
  </si>
  <si>
    <t>Năm
2027</t>
  </si>
  <si>
    <t>Năm
2028</t>
  </si>
  <si>
    <t>Năm
2029</t>
  </si>
  <si>
    <t>Năm
2030</t>
  </si>
  <si>
    <t>Dân quân Phòng không, pháo binh, trinh sát, thông tin, phòng hóa, y tế, c/binh</t>
  </si>
  <si>
    <t>Mũ cứng</t>
  </si>
  <si>
    <t>Đệm giường (bông ép)</t>
  </si>
  <si>
    <t>TRỰC SSCĐ LỄ, TẾT, SỰ KIỆN TRỌNG ĐẠI</t>
  </si>
  <si>
    <t>Phụ cấp các loại</t>
  </si>
  <si>
    <t xml:space="preserve">Kinh phí bảo đảm phụ cấp tháng, phụ cấp chức vụ, phụ cấp thâm niên, phụ cấp đặc thù quốc phòng, quân sự, trợ cấp 1 lần cho các đối tượng theo qui định; </t>
  </si>
  <si>
    <t xml:space="preserve">TỔNG DỰ TOÁN NGÂN SÁCH CỦA ĐỀ ÁN 2026-2030 </t>
  </si>
  <si>
    <t>TẬP HUẤN CÁN BỘ</t>
  </si>
  <si>
    <t>D</t>
  </si>
  <si>
    <t>Dự phòng 2%
(nội dung khác)</t>
  </si>
  <si>
    <t>Kinh phí bảo đảm tiền ăn, ngày công khi tập huấn, huấn luyện, diễn tập, hội thi, hội thao, trực SSCĐ</t>
  </si>
  <si>
    <t>Tiền ăn thêm lễ, tết</t>
  </si>
  <si>
    <t>Trung đội DQTT</t>
  </si>
  <si>
    <t>Thực chi (nội dung bắt buộc)
(1+2+3+4)</t>
  </si>
  <si>
    <t>E</t>
  </si>
  <si>
    <t>TỔNG (A+B+C+D+E)</t>
  </si>
  <si>
    <t>(3)+(5)</t>
  </si>
  <si>
    <t>Ngày công, tiền ăn tập huấn, huấn huyện, diễn tập, hội thi, hội thao, bảo hiểm y tế, bảo hiểm xã hội,  trực SSCĐ lễ, Tết</t>
  </si>
  <si>
    <t>Trang bị cho
100% quân số DQ cơ động, thường trực: mỗi năm trang bị 25% quân số trong 4 năm đủ (riêng Roi điện, khóa số 8 trang bị 25% quân số, mỗi năm trang bị 25%)</t>
  </si>
  <si>
    <r>
      <t xml:space="preserve">261 ngày/năm
</t>
    </r>
    <r>
      <rPr>
        <sz val="6"/>
        <color rgb="FF000000"/>
        <rFont val="Times New Roman"/>
        <family val="1"/>
      </rPr>
      <t>(trừ 52 tuần*2 ngày=108 ngày thứ 7, CN)</t>
    </r>
  </si>
  <si>
    <t>Số ngày
huy động</t>
  </si>
  <si>
    <t>Công cụ hỗ trợ, vũ khí thô sơ, trang thiết bị, phương tiện kỹ thuật</t>
  </si>
  <si>
    <t>Trang thiết bị, phương tiện kỹ thuật</t>
  </si>
  <si>
    <t>Vật chất văn hóa tinh thần</t>
  </si>
  <si>
    <t>Vật chất huấn luyện, hoạt động</t>
  </si>
  <si>
    <t>Bảo đảm khác (khen thưởng)</t>
  </si>
  <si>
    <t>Mỗi năm 30% cấp xã x 1bDQCĐ</t>
  </si>
  <si>
    <t>TH: 05 ngày/năm
 (-at DQTT)</t>
  </si>
  <si>
    <t>TH: 05 ngày/năm 
(-bt DQTT)</t>
  </si>
  <si>
    <t>Cán bộ DQ</t>
  </si>
  <si>
    <t>Cán bộ TV</t>
  </si>
  <si>
    <t>Tổng csi DQTV</t>
  </si>
  <si>
    <t>Csi DQ</t>
  </si>
  <si>
    <t>Csi TV</t>
  </si>
  <si>
    <t>Cán bộ đvị DQTV</t>
  </si>
  <si>
    <t>Tổng DQ</t>
  </si>
  <si>
    <t>Tổng TV</t>
  </si>
  <si>
    <t xml:space="preserve"> - Dự kiến tổ chức xây dưng lực lượng DQ:</t>
  </si>
  <si>
    <t>Tr/sát, T/tin, C/binh, Ph/ hóa, Y tế</t>
  </si>
  <si>
    <t>Đại đôi đội trưởng 
PPK, PB, DQ tại chỗ</t>
  </si>
  <si>
    <t>DQTT</t>
  </si>
  <si>
    <t>Dự phòng tăng thêm (2%)</t>
  </si>
  <si>
    <t xml:space="preserve">Dự phòng phát sinh 2% </t>
  </si>
  <si>
    <t xml:space="preserve"> +  DQ thường trực: tổ chức 01b DQTT 28 đ/c</t>
  </si>
  <si>
    <t xml:space="preserve"> + DQ tại chỗ: Cấp tổ dân phố tổ chức 1b tại chỗ</t>
  </si>
  <si>
    <t xml:space="preserve"> + DQ các binh chủng Thông tin, Công binh, Trinh sát, Phòng hóa, Y tế: tổ chức 02a/ mỗi binh chủng./.</t>
  </si>
  <si>
    <t>b trưởng DQTT</t>
  </si>
  <si>
    <t xml:space="preserve"> Trung đội trưởng DQ còn lại</t>
  </si>
  <si>
    <t xml:space="preserve">Phụ cấp kiêm nhiệm </t>
  </si>
  <si>
    <t>b trưởng</t>
  </si>
  <si>
    <t>1 lần/năm (xã, p x 02 VĐV)</t>
  </si>
  <si>
    <t>Kinh phí thực hiện kế hoạch</t>
  </si>
  <si>
    <t>b trưởng DQ cơ động</t>
  </si>
  <si>
    <t>b trưởng DQCĐ</t>
  </si>
  <si>
    <t xml:space="preserve"> CTV cấp phường, Tổ đội, 
btrưởng DQTV trở lên</t>
  </si>
  <si>
    <t xml:space="preserve"> CTV cấp phường, tổ đội, 
btrưởng DQTV trở lên</t>
  </si>
  <si>
    <r>
      <t xml:space="preserve">3 năm: </t>
    </r>
    <r>
      <rPr>
        <sz val="12"/>
        <rFont val="Times New Roman"/>
        <family val="1"/>
      </rPr>
      <t>á</t>
    </r>
    <r>
      <rPr>
        <sz val="11"/>
        <color theme="1"/>
        <rFont val="Calibri"/>
        <family val="2"/>
        <scheme val="minor"/>
      </rPr>
      <t>o mưa</t>
    </r>
  </si>
  <si>
    <t>btr DQ Thường trực</t>
  </si>
  <si>
    <t>Tổ đội trưởng, Tiểu đội, KĐT</t>
  </si>
  <si>
    <t xml:space="preserve"> - Sau sắp xếp: Phường Ninh Hoà hiện có 22 tổ dân phố; là phường  trọng điểm về QP.</t>
  </si>
  <si>
    <t xml:space="preserve"> + DQ cơ động: tổ chức 3b</t>
  </si>
  <si>
    <t xml:space="preserve"> + DQ binh chủng Phòng không, Pháo binh giữ nguyên như hiện có gồm: 1c PPK 37mm-1, 1b SMPK 12,7mm, 1b ĐKZ 82mm, 1b Co82mm, 1a Co60mm.</t>
  </si>
  <si>
    <t xml:space="preserve"> + DQ cối 60mm: tổ chức 01kđ.</t>
  </si>
  <si>
    <t>Ban CHQS phường</t>
  </si>
  <si>
    <t>Tổ đội trưởng</t>
  </si>
  <si>
    <t>Chiến đấu PT cấp phường</t>
  </si>
  <si>
    <t>Cấp phường</t>
  </si>
  <si>
    <t>Sử dụng 01 trung đội DQ cơ động cấp phường tăng cường</t>
  </si>
  <si>
    <t>5% cán bộ chỉ huy, chiến sĩ DQCĐ, DQTT</t>
  </si>
  <si>
    <t>10% cán bộ chỉ huy, chiến sĩ DQCĐ, DQTT</t>
  </si>
  <si>
    <t>a trưởng, csĩ DQ cơ động</t>
  </si>
  <si>
    <t>a trưởng, chiến sĩ DQ tại chỗ, B.chủng</t>
  </si>
  <si>
    <t>a trưởng, c/sĩ DQ cơ động</t>
  </si>
  <si>
    <t>a trưởng, c/sĩ DQ thường trực</t>
  </si>
  <si>
    <t>a trưởng, chiến sĩ DQ tại chỗ, B/chủng</t>
  </si>
  <si>
    <t>a trưởng, chiến sĩ
DQ Thường trực</t>
  </si>
  <si>
    <r>
      <t xml:space="preserve">TỔ CHỨC, BIÊN CHẾ DÂN QUÂN TỰ VỆ 
</t>
    </r>
    <r>
      <rPr>
        <i/>
        <sz val="14"/>
        <color rgb="FF000000"/>
        <rFont val="Times New Roman"/>
        <family val="1"/>
      </rPr>
      <t>(Kèm theo Đề án tổ chức lực lượng, huấn luyện, hoạt động và bảo đảm chế độ, chính sách 
cho Dân quân tự vệ trên địa bàn phường, giai đoạn 2026- 2030)</t>
    </r>
  </si>
  <si>
    <r>
      <t xml:space="preserve">BẢO ĐẢM TRANG PHỤC CHO DÂN QUÂN
</t>
    </r>
    <r>
      <rPr>
        <i/>
        <sz val="14"/>
        <color rgb="FF000000"/>
        <rFont val="Times New Roman"/>
        <family val="1"/>
      </rPr>
      <t>(Kèm theo Đề án tổ chức lực lượng, huấn luyện, hoạt động và bảo đảm chế độ, chính sách 
cho Dân quân tự vệ trên địa bàn phường, giai đoạn 2026- 2030)</t>
    </r>
  </si>
  <si>
    <r>
      <t xml:space="preserve">BẢO ĐẢM TRANG PHỤC CHO TỰ VỆ KHỐI CƠ QUAN, TỔ CHỨC NHÀ NƯỚC, TỔ CHỨC CHÍNH TRỊ, TỔ CHỨC CHÍNH TRỊ XÃ HỘI CÔNG LẬP
</t>
    </r>
    <r>
      <rPr>
        <i/>
        <sz val="14"/>
        <color rgb="FF000000"/>
        <rFont val="Times New Roman"/>
        <family val="1"/>
      </rPr>
      <t>(Kèm theo Đề án tổ chức lực lượng, huấn luyện, hoạt động và bảo đảm chế độ, chính sách 
cho Dân quân tự vệ trên địa bàn phường, giai đoạn 2026- 2030)</t>
    </r>
  </si>
  <si>
    <r>
      <t xml:space="preserve">KINH PHÍ BẢO ĐẢM PHỤ CẤP THÁNG, PHỤ CẤP CHỨC VỤ, PHỤ CẤP
THÂM NIÊN, PHỤ CẤP ĐẶC THÙ QUỐC PHÒNG QUÂN SỰ
</t>
    </r>
    <r>
      <rPr>
        <i/>
        <sz val="14"/>
        <color rgb="FF000000"/>
        <rFont val="Times New Roman"/>
        <family val="1"/>
      </rPr>
      <t>(Kèm theo Đề án tổ chức lực lượng, huấn luyện, hoạt động và bảo đảm chế độ, chính sách 
cho Dân quân tự vệ trên địa bàn phường, giai đoạn 2026- 2030)</t>
    </r>
  </si>
  <si>
    <r>
      <t xml:space="preserve">KINH PHÍ BẢO ĐẢM TIỀN ĂN, TRỢ CẤP NGÀY CÔNG LAO ĐỘNG TẬP HUẤN; HUẤN LUYỆN; HỘI THI, HỘI THAO; DIỄN TẬP; 
PHỤ CẤP ĐẶC THÙ ĐI BIỂN; BHYT, BHXH, TRỢ CẤP MỘT LẦN ĐỐI VỚI DQTT; TRỰC SẴN SÀNG CHIẾN ĐẤU LỄ, TẾT
</t>
    </r>
    <r>
      <rPr>
        <i/>
        <sz val="14"/>
        <color rgb="FF000000"/>
        <rFont val="Times New Roman"/>
        <family val="1"/>
      </rPr>
      <t>(Kèm theo Đề án tổ chức lực lượng, huấn luyện, hoạt động và bảo đảm chế độ, chính sách 
cho Dân quân tự vệ trên địa bàn phường, giai đoạn 2026- 2030)</t>
    </r>
  </si>
  <si>
    <r>
      <t xml:space="preserve">KINH PHÍ BẢO ĐẢM CÔNG CỤ HỖ TRỢ, VŨ KHÍ THÔ SƠ, TRANG THIẾT BỊ
PHƯƠNG TIỆN KỸ THUẬT; CƠ SỞ VẬT CHẤT
</t>
    </r>
    <r>
      <rPr>
        <i/>
        <sz val="12"/>
        <color rgb="FF000000"/>
        <rFont val="Times New Roman"/>
        <family val="1"/>
      </rPr>
      <t>(Kèm theo Đề án tổ chức lực lượng, huấn luyện, hoạt động và bảo đảm chế độ, chính sách 
cho Dân quân tự vệ trên địa bàn phường, giai đoạn 2026- 2030)</t>
    </r>
  </si>
  <si>
    <r>
      <t xml:space="preserve">KINH PHÍ THỰC HIỆN ĐỀ ÁN TỔ CHỨC XÂY DỰNG, HUẤN LUYỆN, HOẠT ĐỘNG, BẢO ĐẢM
CHẾ ĐỘ, CHÍNH SÁCH CHO LỰC LƯỢNG DÂN QUÂN TỰ VỆ GIAI ĐOẠN 2026-2030
</t>
    </r>
    <r>
      <rPr>
        <i/>
        <sz val="14"/>
        <color theme="1"/>
        <rFont val="Times New Roman"/>
        <family val="1"/>
      </rPr>
      <t>(Kèm theo Đề án tổ chức lực lượng, huấn luyện, hoạt động và bảo đảm chế độ, chính sách 
cho Dân quân tự vệ trên địa bàn phường, giai đoạn 2026- 2030)</t>
    </r>
  </si>
  <si>
    <t>Điện, nước</t>
  </si>
  <si>
    <t xml:space="preserve">Diễn tập PT Dân sự </t>
  </si>
  <si>
    <r>
      <rPr>
        <b/>
        <sz val="11"/>
        <color indexed="8"/>
        <rFont val="Times New Roman"/>
        <family val="1"/>
      </rPr>
      <t xml:space="preserve">Ngày trực: </t>
    </r>
    <r>
      <rPr>
        <sz val="11"/>
        <color indexed="8"/>
        <rFont val="Times New Roman"/>
        <family val="1"/>
      </rPr>
      <t xml:space="preserve">Tết dương lịch: 3 ngày, Tết cổ truyền: 9 ngày, T/lập Đảng: 3 ngày, Giỗ tổ HV: 3 ngày, Lễ 30/4-01/5: 5 ngày, QK 2/9: 3 ngày, Sự kiện: 02 ngày. Tổng 28 ngày/năm.
</t>
    </r>
    <r>
      <rPr>
        <b/>
        <sz val="11"/>
        <color indexed="8"/>
        <rFont val="Times New Roman"/>
        <family val="1"/>
      </rPr>
      <t xml:space="preserve">Ngày ăn thêm: </t>
    </r>
    <r>
      <rPr>
        <sz val="11"/>
        <color indexed="8"/>
        <rFont val="Times New Roman"/>
        <family val="1"/>
      </rPr>
      <t>Tết DL: 01 ngày, AL: 05 ngày, Giỗ tổ: 01 ngày, 30/4-1/5: 02 ngày, Qk 2/9: 02 ngày, 22/12: 01 ngày. Tổng 12 ngày.</t>
    </r>
  </si>
  <si>
    <t>Máy vi tính</t>
  </si>
  <si>
    <t>Máy in</t>
  </si>
  <si>
    <t>Máy photo</t>
  </si>
  <si>
    <t>Máy scan</t>
  </si>
  <si>
    <t>Phụ lục 4.1</t>
  </si>
  <si>
    <t xml:space="preserve">Phụ lục 4.2 </t>
  </si>
  <si>
    <t>Phụ lục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</si>
</sst>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0"/>
      <color indexed="8"/>
      <name val="Times New Roman"/>
      <family val="1"/>
    </font>
    <font>
      <b/>
      <sz val="11"/>
      <color indexed="8"/>
      <name val="Times New Roman"/>
      <family val="1"/>
    </font>
    <font>
      <b/>
      <sz val="10"/>
      <color indexed="8"/>
      <name val="Times New Roman"/>
      <family val="1"/>
    </font>
    <font>
      <b/>
      <sz val="14"/>
      <color indexed="8"/>
      <name val="Times New Roman"/>
      <family val="1"/>
    </font>
    <font>
      <i/>
      <sz val="14"/>
      <color indexed="8"/>
      <name val="Times New Roman"/>
      <family val="1"/>
    </font>
    <font>
      <b/>
      <sz val="12"/>
      <color indexed="8"/>
      <name val="Times New Roman"/>
      <family val="1"/>
    </font>
    <font>
      <sz val="12"/>
      <color indexed="8"/>
      <name val="Times New Roman"/>
      <family val="1"/>
    </font>
    <font>
      <sz val="14"/>
      <color indexed="8"/>
      <name val="Times New Roman"/>
      <family val="1"/>
    </font>
    <font>
      <b/>
      <sz val="12"/>
      <name val="Times New Roman"/>
      <family val="1"/>
    </font>
    <font>
      <sz val="12"/>
      <name val="Times New Roman"/>
      <family val="1"/>
    </font>
    <font>
      <b/>
      <sz val="11"/>
      <color indexed="8"/>
      <name val="Calibri"/>
      <family val="2"/>
    </font>
    <font>
      <sz val="12"/>
      <name val="Times New Roman"/>
      <family val="1"/>
    </font>
    <font>
      <sz val="11"/>
      <color indexed="8"/>
      <name val="Times New Roman"/>
      <family val="1"/>
    </font>
    <font>
      <i/>
      <sz val="12"/>
      <color indexed="8"/>
      <name val="Times New Roman"/>
      <family val="1"/>
    </font>
    <font>
      <sz val="12"/>
      <color indexed="9"/>
      <name val="Times New Roman"/>
      <family val="1"/>
    </font>
    <font>
      <sz val="8"/>
      <name val="Calibri"/>
      <family val="2"/>
    </font>
    <font>
      <sz val="6"/>
      <color indexed="8"/>
      <name val="Times New Roman"/>
      <family val="1"/>
    </font>
    <font>
      <b/>
      <sz val="13"/>
      <color indexed="8"/>
      <name val="Times New Roman"/>
      <family val="1"/>
    </font>
    <font>
      <sz val="8"/>
      <color indexed="8"/>
      <name val="Times New Roman"/>
      <family val="1"/>
    </font>
    <font>
      <sz val="13"/>
      <name val="Times New Roman"/>
      <family val="1"/>
    </font>
    <font>
      <sz val="13"/>
      <color indexed="8"/>
      <name val="Times New Roman"/>
      <family val="1"/>
    </font>
    <font>
      <sz val="9"/>
      <color indexed="81"/>
      <name val="Tahoma"/>
      <family val="2"/>
    </font>
    <font>
      <sz val="8"/>
      <color indexed="81"/>
      <name val="Tahoma"/>
      <family val="2"/>
    </font>
    <font>
      <b/>
      <sz val="14"/>
      <color theme="1"/>
      <name val="Times New Roman"/>
      <family val="1"/>
    </font>
    <font>
      <sz val="14"/>
      <color theme="1"/>
      <name val="Times New Roman"/>
      <family val="1"/>
    </font>
    <font>
      <b/>
      <sz val="13"/>
      <color theme="1"/>
      <name val="Times New Roman"/>
      <family val="1"/>
    </font>
    <font>
      <sz val="14"/>
      <color indexed="8"/>
      <name val="Calibri Light"/>
      <family val="1"/>
      <scheme val="major"/>
    </font>
    <font>
      <b/>
      <sz val="14"/>
      <color indexed="8"/>
      <name val="Calibri Light"/>
      <family val="1"/>
      <scheme val="major"/>
    </font>
    <font>
      <sz val="14"/>
      <color theme="1"/>
      <name val="Calibri Light"/>
      <family val="1"/>
      <scheme val="major"/>
    </font>
    <font>
      <b/>
      <sz val="14"/>
      <color theme="1"/>
      <name val="Calibri Light"/>
      <family val="1"/>
      <scheme val="major"/>
    </font>
    <font>
      <sz val="6"/>
      <color rgb="FF000000"/>
      <name val="Times New Roman"/>
      <family val="1"/>
    </font>
    <font>
      <sz val="10"/>
      <name val="Times New Roman"/>
      <family val="1"/>
    </font>
    <font>
      <sz val="14"/>
      <name val="Calibri Light"/>
      <family val="1"/>
      <scheme val="major"/>
    </font>
    <font>
      <sz val="14"/>
      <name val="Times New Roman"/>
      <family val="1"/>
    </font>
    <font>
      <i/>
      <sz val="14"/>
      <name val="Calibri Light"/>
      <family val="1"/>
      <scheme val="major"/>
    </font>
    <font>
      <i/>
      <sz val="10"/>
      <name val="Times New Roman"/>
      <family val="1"/>
    </font>
    <font>
      <sz val="11"/>
      <color theme="1"/>
      <name val="Times New Roman"/>
      <family val="1"/>
    </font>
    <font>
      <b/>
      <sz val="11"/>
      <color theme="1"/>
      <name val="Times New Roman"/>
      <family val="1"/>
    </font>
    <font>
      <i/>
      <sz val="14"/>
      <color theme="1"/>
      <name val="Times New Roman"/>
      <family val="1"/>
    </font>
    <font>
      <i/>
      <sz val="14"/>
      <color rgb="FF000000"/>
      <name val="Times New Roman"/>
      <family val="1"/>
    </font>
    <font>
      <i/>
      <sz val="12"/>
      <color rgb="FF000000"/>
      <name val="Times New Roman"/>
      <family val="1"/>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2" fillId="0" borderId="0"/>
  </cellStyleXfs>
  <cellXfs count="235">
    <xf numFmtId="0" fontId="0" fillId="0" borderId="0" xfId="0"/>
    <xf numFmtId="0" fontId="0" fillId="0" borderId="0" xfId="0" applyAlignment="1">
      <alignment horizontal="center" vertical="center"/>
    </xf>
    <xf numFmtId="0" fontId="4" fillId="0" borderId="0" xfId="0" applyFont="1"/>
    <xf numFmtId="0" fontId="5" fillId="0" borderId="0" xfId="0" applyFont="1"/>
    <xf numFmtId="0" fontId="6"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4" fillId="0" borderId="0" xfId="0" applyFont="1" applyAlignment="1">
      <alignment vertical="center"/>
    </xf>
    <xf numFmtId="0" fontId="8"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vertical="center"/>
    </xf>
    <xf numFmtId="0" fontId="12" fillId="0" borderId="0" xfId="1"/>
    <xf numFmtId="0" fontId="12" fillId="0" borderId="0" xfId="1" applyAlignment="1">
      <alignment horizontal="center"/>
    </xf>
    <xf numFmtId="0" fontId="12" fillId="0" borderId="0" xfId="1" applyAlignment="1">
      <alignment horizontal="center" vertical="center"/>
    </xf>
    <xf numFmtId="0" fontId="12" fillId="0" borderId="1" xfId="1" applyBorder="1" applyAlignment="1">
      <alignment horizontal="center" vertical="center"/>
    </xf>
    <xf numFmtId="0" fontId="12" fillId="0" borderId="2" xfId="1" applyBorder="1" applyAlignment="1">
      <alignment horizontal="center" vertical="center"/>
    </xf>
    <xf numFmtId="0" fontId="9" fillId="0" borderId="0" xfId="1" applyFont="1" applyAlignment="1">
      <alignment horizontal="center" vertical="center"/>
    </xf>
    <xf numFmtId="0" fontId="12" fillId="0" borderId="3" xfId="1" applyBorder="1" applyAlignment="1">
      <alignment horizontal="center" vertical="center"/>
    </xf>
    <xf numFmtId="0" fontId="12" fillId="0" borderId="1" xfId="1" applyBorder="1" applyAlignment="1">
      <alignment horizontal="center" vertical="center" wrapText="1"/>
    </xf>
    <xf numFmtId="0" fontId="10" fillId="0" borderId="1" xfId="1" applyFont="1" applyBorder="1" applyAlignment="1">
      <alignment horizontal="center" vertical="center" wrapText="1"/>
    </xf>
    <xf numFmtId="0" fontId="10" fillId="0" borderId="1" xfId="1" applyFont="1" applyBorder="1" applyAlignment="1">
      <alignment horizontal="center" vertical="center"/>
    </xf>
    <xf numFmtId="0" fontId="12" fillId="0" borderId="4" xfId="1" applyBorder="1" applyAlignment="1">
      <alignment horizontal="center" vertical="center"/>
    </xf>
    <xf numFmtId="0" fontId="10" fillId="0" borderId="2" xfId="1" applyFont="1" applyBorder="1" applyAlignment="1">
      <alignment horizontal="center" vertical="center" wrapText="1"/>
    </xf>
    <xf numFmtId="0" fontId="10" fillId="0" borderId="4" xfId="1" applyFont="1" applyBorder="1" applyAlignment="1">
      <alignment horizontal="center" vertical="center"/>
    </xf>
    <xf numFmtId="0" fontId="12" fillId="0" borderId="5" xfId="1" applyBorder="1" applyAlignment="1">
      <alignment horizontal="center" vertical="center"/>
    </xf>
    <xf numFmtId="0" fontId="10" fillId="0" borderId="6" xfId="1" applyFont="1" applyBorder="1" applyAlignment="1">
      <alignment horizontal="center" vertical="center"/>
    </xf>
    <xf numFmtId="0" fontId="12" fillId="0" borderId="6" xfId="1" applyBorder="1" applyAlignment="1">
      <alignment horizontal="center" vertical="center"/>
    </xf>
    <xf numFmtId="0" fontId="12" fillId="0" borderId="7" xfId="1" applyBorder="1" applyAlignment="1">
      <alignment horizontal="center" vertical="center"/>
    </xf>
    <xf numFmtId="0" fontId="12" fillId="0" borderId="8" xfId="1" applyBorder="1" applyAlignment="1">
      <alignment horizontal="center" vertical="center"/>
    </xf>
    <xf numFmtId="0" fontId="10" fillId="0" borderId="9" xfId="1" applyFont="1" applyBorder="1" applyAlignment="1">
      <alignment horizontal="center" vertical="center"/>
    </xf>
    <xf numFmtId="0" fontId="12" fillId="0" borderId="9" xfId="1" applyBorder="1" applyAlignment="1">
      <alignment horizontal="center" vertical="center"/>
    </xf>
    <xf numFmtId="0" fontId="12" fillId="0" borderId="10" xfId="1" applyBorder="1" applyAlignment="1">
      <alignment horizontal="center" vertical="center"/>
    </xf>
    <xf numFmtId="0" fontId="12" fillId="0" borderId="11" xfId="1" applyBorder="1" applyAlignment="1">
      <alignment horizontal="center" vertical="center"/>
    </xf>
    <xf numFmtId="0" fontId="9" fillId="0" borderId="0" xfId="1" applyFont="1" applyAlignment="1">
      <alignment horizontal="center"/>
    </xf>
    <xf numFmtId="0" fontId="9" fillId="0" borderId="0" xfId="1" applyFont="1" applyAlignment="1">
      <alignment horizontal="left"/>
    </xf>
    <xf numFmtId="0" fontId="9" fillId="0" borderId="0" xfId="1" applyFont="1"/>
    <xf numFmtId="0" fontId="10" fillId="0" borderId="0" xfId="1" applyFont="1"/>
    <xf numFmtId="0" fontId="10" fillId="0" borderId="0" xfId="1" applyFont="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4" fillId="0" borderId="1" xfId="0" applyFont="1" applyBorder="1" applyAlignment="1">
      <alignment horizontal="justify" vertical="center"/>
    </xf>
    <xf numFmtId="0" fontId="7" fillId="0" borderId="1" xfId="0" applyFont="1" applyBorder="1" applyAlignment="1">
      <alignment horizontal="center" vertical="center" wrapText="1"/>
    </xf>
    <xf numFmtId="3" fontId="6" fillId="0" borderId="1" xfId="0" applyNumberFormat="1" applyFont="1" applyBorder="1" applyAlignment="1">
      <alignment vertical="center"/>
    </xf>
    <xf numFmtId="0" fontId="6" fillId="0" borderId="1" xfId="0" applyFont="1" applyBorder="1" applyAlignment="1">
      <alignment vertical="center"/>
    </xf>
    <xf numFmtId="0" fontId="11" fillId="0" borderId="0" xfId="0" applyFont="1" applyAlignment="1">
      <alignment vertical="center"/>
    </xf>
    <xf numFmtId="3" fontId="7" fillId="0" borderId="1" xfId="0" applyNumberFormat="1" applyFont="1" applyBorder="1" applyAlignment="1">
      <alignment vertical="center"/>
    </xf>
    <xf numFmtId="0" fontId="7" fillId="0" borderId="1" xfId="0" applyFont="1" applyBorder="1" applyAlignment="1">
      <alignment vertical="center"/>
    </xf>
    <xf numFmtId="0" fontId="0" fillId="0" borderId="0" xfId="0" applyAlignment="1">
      <alignment vertical="center"/>
    </xf>
    <xf numFmtId="3" fontId="6" fillId="0" borderId="1" xfId="0" applyNumberFormat="1" applyFont="1" applyBorder="1" applyAlignment="1">
      <alignment horizontal="center" vertical="center" wrapText="1"/>
    </xf>
    <xf numFmtId="0" fontId="14"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xf>
    <xf numFmtId="3" fontId="6" fillId="0" borderId="1" xfId="0" applyNumberFormat="1" applyFont="1" applyBorder="1" applyAlignment="1">
      <alignment horizontal="center" vertical="center"/>
    </xf>
    <xf numFmtId="3" fontId="7" fillId="0" borderId="1" xfId="0" applyNumberFormat="1" applyFont="1" applyBorder="1" applyAlignment="1">
      <alignment horizontal="center" vertical="center"/>
    </xf>
    <xf numFmtId="0" fontId="6" fillId="0" borderId="1" xfId="0" applyFont="1" applyBorder="1" applyAlignment="1">
      <alignment vertical="center" wrapText="1"/>
    </xf>
    <xf numFmtId="0" fontId="7" fillId="0" borderId="1" xfId="0" applyFont="1" applyBorder="1" applyAlignment="1">
      <alignment vertical="center" wrapText="1"/>
    </xf>
    <xf numFmtId="0" fontId="15" fillId="0" borderId="0" xfId="0" applyFont="1" applyAlignment="1">
      <alignment vertical="center"/>
    </xf>
    <xf numFmtId="3" fontId="15" fillId="0" borderId="0" xfId="0" applyNumberFormat="1" applyFont="1" applyAlignment="1">
      <alignment vertical="center"/>
    </xf>
    <xf numFmtId="0" fontId="8" fillId="0" borderId="0" xfId="0" applyFont="1"/>
    <xf numFmtId="0" fontId="24" fillId="0" borderId="1" xfId="0" applyFont="1" applyBorder="1" applyAlignment="1">
      <alignment horizontal="center" vertical="center"/>
    </xf>
    <xf numFmtId="0" fontId="24" fillId="0" borderId="0" xfId="0" applyFont="1" applyAlignment="1">
      <alignment vertical="center"/>
    </xf>
    <xf numFmtId="0" fontId="8" fillId="0" borderId="0" xfId="0" applyFont="1" applyAlignment="1">
      <alignment vertical="center"/>
    </xf>
    <xf numFmtId="3" fontId="6" fillId="0" borderId="1" xfId="0" applyNumberFormat="1" applyFont="1" applyBorder="1" applyAlignment="1">
      <alignment horizontal="right" vertical="center"/>
    </xf>
    <xf numFmtId="3" fontId="7" fillId="0" borderId="1" xfId="0" applyNumberFormat="1" applyFont="1" applyBorder="1" applyAlignment="1">
      <alignment horizontal="right" vertical="center"/>
    </xf>
    <xf numFmtId="0" fontId="6" fillId="0" borderId="1" xfId="0" applyFont="1" applyBorder="1" applyAlignment="1">
      <alignment horizontal="right" vertical="center"/>
    </xf>
    <xf numFmtId="0" fontId="7" fillId="0" borderId="1" xfId="0" applyFont="1" applyBorder="1" applyAlignment="1">
      <alignment horizontal="right" vertical="center"/>
    </xf>
    <xf numFmtId="3" fontId="0" fillId="0" borderId="0" xfId="0" applyNumberFormat="1"/>
    <xf numFmtId="0" fontId="24" fillId="0" borderId="1" xfId="0" applyFont="1" applyBorder="1" applyAlignment="1">
      <alignment horizontal="center" vertical="center" wrapText="1"/>
    </xf>
    <xf numFmtId="0" fontId="1" fillId="0" borderId="1" xfId="0" applyFont="1" applyBorder="1" applyAlignment="1">
      <alignment horizontal="center" vertical="center"/>
    </xf>
    <xf numFmtId="0" fontId="8" fillId="0" borderId="0" xfId="0" applyFont="1" applyAlignment="1">
      <alignment horizontal="right" vertical="center"/>
    </xf>
    <xf numFmtId="3" fontId="8" fillId="0" borderId="0" xfId="0" applyNumberFormat="1" applyFont="1" applyAlignment="1">
      <alignment horizontal="right" vertical="center"/>
    </xf>
    <xf numFmtId="0" fontId="18" fillId="0" borderId="1" xfId="0" applyFont="1" applyBorder="1" applyAlignment="1">
      <alignment horizontal="right" vertical="center"/>
    </xf>
    <xf numFmtId="3" fontId="18" fillId="0" borderId="1" xfId="0" applyNumberFormat="1" applyFont="1" applyBorder="1" applyAlignment="1">
      <alignment horizontal="right" vertical="center"/>
    </xf>
    <xf numFmtId="3" fontId="20" fillId="0" borderId="1" xfId="0" applyNumberFormat="1" applyFont="1" applyBorder="1" applyAlignment="1">
      <alignment horizontal="right" vertical="center"/>
    </xf>
    <xf numFmtId="0" fontId="21" fillId="0" borderId="1" xfId="0" applyFont="1" applyBorder="1" applyAlignment="1">
      <alignment horizontal="right" vertical="center"/>
    </xf>
    <xf numFmtId="3" fontId="21" fillId="0" borderId="1" xfId="0" applyNumberFormat="1" applyFont="1" applyBorder="1" applyAlignment="1">
      <alignment horizontal="right" vertical="center"/>
    </xf>
    <xf numFmtId="0" fontId="4" fillId="0" borderId="0" xfId="0" applyFont="1" applyAlignment="1">
      <alignment horizontal="right" vertical="center"/>
    </xf>
    <xf numFmtId="3" fontId="4" fillId="0" borderId="0" xfId="0" applyNumberFormat="1" applyFont="1" applyAlignment="1">
      <alignment horizontal="right" vertical="center"/>
    </xf>
    <xf numFmtId="0" fontId="6" fillId="0" borderId="1" xfId="0" applyFont="1" applyBorder="1" applyAlignment="1">
      <alignment horizontal="justify" vertical="center" wrapText="1"/>
    </xf>
    <xf numFmtId="3" fontId="6" fillId="0" borderId="12" xfId="0" applyNumberFormat="1" applyFont="1" applyBorder="1" applyAlignment="1">
      <alignment horizontal="center" vertical="center" wrapText="1"/>
    </xf>
    <xf numFmtId="3" fontId="2" fillId="0" borderId="0" xfId="0" applyNumberFormat="1"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3" fontId="2" fillId="0" borderId="1" xfId="0" applyNumberFormat="1" applyFont="1" applyBorder="1" applyAlignment="1">
      <alignment vertical="center"/>
    </xf>
    <xf numFmtId="0" fontId="2" fillId="0" borderId="1" xfId="0" applyFont="1" applyBorder="1" applyAlignment="1">
      <alignment vertical="center"/>
    </xf>
    <xf numFmtId="0" fontId="2" fillId="0" borderId="0" xfId="0" applyFont="1" applyAlignment="1">
      <alignment vertical="center"/>
    </xf>
    <xf numFmtId="0" fontId="2" fillId="0" borderId="1" xfId="0" applyFont="1" applyBorder="1" applyAlignment="1">
      <alignment horizontal="left" vertical="center"/>
    </xf>
    <xf numFmtId="3" fontId="2" fillId="0" borderId="1" xfId="0" applyNumberFormat="1" applyFont="1" applyBorder="1"/>
    <xf numFmtId="0" fontId="2" fillId="0" borderId="0" xfId="0" applyFont="1"/>
    <xf numFmtId="0" fontId="13" fillId="0" borderId="1" xfId="0" applyFont="1" applyBorder="1" applyAlignment="1">
      <alignment horizontal="center" vertical="center"/>
    </xf>
    <xf numFmtId="0" fontId="13" fillId="0" borderId="1" xfId="0" applyFont="1" applyBorder="1" applyAlignment="1">
      <alignment horizontal="left" vertical="center"/>
    </xf>
    <xf numFmtId="3" fontId="13" fillId="0" borderId="1" xfId="0" applyNumberFormat="1" applyFont="1" applyBorder="1"/>
    <xf numFmtId="0" fontId="13" fillId="0" borderId="1" xfId="0" applyFont="1" applyBorder="1"/>
    <xf numFmtId="0" fontId="13" fillId="0" borderId="0" xfId="0" applyFont="1"/>
    <xf numFmtId="3" fontId="13" fillId="0" borderId="1" xfId="0" applyNumberFormat="1" applyFont="1" applyBorder="1" applyAlignment="1">
      <alignment vertical="center"/>
    </xf>
    <xf numFmtId="0" fontId="13" fillId="0" borderId="0" xfId="0" applyFont="1" applyAlignment="1">
      <alignment vertical="center"/>
    </xf>
    <xf numFmtId="0" fontId="17" fillId="0" borderId="1" xfId="0" applyFont="1" applyBorder="1" applyAlignment="1">
      <alignment wrapText="1"/>
    </xf>
    <xf numFmtId="0" fontId="19" fillId="0" borderId="1" xfId="0" applyFont="1" applyBorder="1"/>
    <xf numFmtId="0" fontId="1" fillId="0" borderId="1" xfId="0" applyFont="1" applyBorder="1"/>
    <xf numFmtId="0" fontId="19" fillId="0" borderId="1" xfId="0" applyFont="1" applyBorder="1" applyAlignment="1">
      <alignment vertical="center" wrapText="1"/>
    </xf>
    <xf numFmtId="0" fontId="13" fillId="0" borderId="0" xfId="0" applyFont="1" applyAlignment="1">
      <alignment horizontal="center" vertical="center"/>
    </xf>
    <xf numFmtId="0" fontId="13" fillId="0" borderId="0" xfId="0" applyFont="1" applyAlignment="1">
      <alignment horizontal="left" vertical="center"/>
    </xf>
    <xf numFmtId="0" fontId="19" fillId="0" borderId="1" xfId="0" applyFont="1" applyBorder="1" applyAlignment="1">
      <alignment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xf>
    <xf numFmtId="0" fontId="25" fillId="0" borderId="0" xfId="0" applyFont="1" applyAlignment="1">
      <alignment horizontal="center"/>
    </xf>
    <xf numFmtId="0" fontId="8" fillId="0" borderId="0" xfId="0" applyFont="1" applyAlignment="1">
      <alignment horizontal="center"/>
    </xf>
    <xf numFmtId="3" fontId="6" fillId="0" borderId="2" xfId="0" applyNumberFormat="1" applyFont="1" applyBorder="1" applyAlignment="1">
      <alignment horizontal="center" vertical="center" wrapText="1"/>
    </xf>
    <xf numFmtId="0" fontId="13" fillId="0" borderId="1" xfId="0" applyFont="1" applyBorder="1" applyAlignment="1">
      <alignment horizontal="center"/>
    </xf>
    <xf numFmtId="0" fontId="13" fillId="0" borderId="1" xfId="0" applyFont="1" applyBorder="1" applyAlignment="1">
      <alignment horizontal="left"/>
    </xf>
    <xf numFmtId="0" fontId="19" fillId="0" borderId="1" xfId="0" applyFont="1" applyBorder="1" applyAlignment="1">
      <alignment horizontal="justify" vertical="center"/>
    </xf>
    <xf numFmtId="0" fontId="6" fillId="0" borderId="1" xfId="0" applyFont="1" applyBorder="1" applyAlignment="1">
      <alignment horizontal="justify" vertical="center"/>
    </xf>
    <xf numFmtId="0" fontId="19" fillId="0" borderId="1" xfId="0" applyFont="1" applyBorder="1" applyAlignment="1">
      <alignment vertical="center"/>
    </xf>
    <xf numFmtId="0" fontId="2" fillId="0" borderId="1" xfId="0" applyFont="1" applyBorder="1" applyAlignment="1">
      <alignment horizontal="justify" vertical="center"/>
    </xf>
    <xf numFmtId="0" fontId="8"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xf>
    <xf numFmtId="0" fontId="2" fillId="0" borderId="1" xfId="0" applyFont="1" applyBorder="1" applyAlignment="1">
      <alignment horizontal="justify" vertical="center" wrapText="1"/>
    </xf>
    <xf numFmtId="3" fontId="7" fillId="0" borderId="0" xfId="0" applyNumberFormat="1" applyFont="1"/>
    <xf numFmtId="3" fontId="8" fillId="0" borderId="0" xfId="0" applyNumberFormat="1" applyFont="1"/>
    <xf numFmtId="0" fontId="27" fillId="0" borderId="1" xfId="0" applyFont="1" applyBorder="1" applyAlignment="1">
      <alignment horizontal="center" vertical="center"/>
    </xf>
    <xf numFmtId="0" fontId="28" fillId="0" borderId="1" xfId="0" applyFont="1" applyBorder="1" applyAlignment="1">
      <alignment horizontal="center" vertical="center"/>
    </xf>
    <xf numFmtId="0" fontId="27" fillId="0" borderId="0" xfId="0" applyFont="1" applyAlignment="1">
      <alignment horizontal="center" vertical="center"/>
    </xf>
    <xf numFmtId="0" fontId="29" fillId="0" borderId="0" xfId="0" applyFont="1" applyAlignment="1">
      <alignment horizontal="center" vertical="center"/>
    </xf>
    <xf numFmtId="0" fontId="6" fillId="0" borderId="1" xfId="0" applyFont="1" applyBorder="1" applyAlignment="1">
      <alignment horizontal="left" vertical="center" wrapText="1"/>
    </xf>
    <xf numFmtId="3" fontId="32" fillId="0" borderId="0" xfId="0" applyNumberFormat="1" applyFont="1"/>
    <xf numFmtId="0" fontId="33" fillId="0" borderId="0" xfId="0" applyFont="1" applyAlignment="1">
      <alignment horizontal="center" vertical="center"/>
    </xf>
    <xf numFmtId="0" fontId="34" fillId="0" borderId="0" xfId="0" applyFont="1"/>
    <xf numFmtId="3" fontId="34" fillId="0" borderId="0" xfId="0" applyNumberFormat="1" applyFont="1"/>
    <xf numFmtId="0" fontId="35" fillId="0" borderId="0" xfId="0" applyFont="1" applyAlignment="1">
      <alignment horizontal="center" vertical="center"/>
    </xf>
    <xf numFmtId="0" fontId="36" fillId="0" borderId="0" xfId="0" applyFont="1"/>
    <xf numFmtId="3" fontId="36" fillId="0" borderId="0" xfId="0" applyNumberFormat="1" applyFont="1"/>
    <xf numFmtId="0" fontId="32" fillId="0" borderId="0" xfId="0" applyFont="1"/>
    <xf numFmtId="0" fontId="13" fillId="0" borderId="1" xfId="0" applyFont="1" applyBorder="1" applyAlignment="1">
      <alignment wrapText="1"/>
    </xf>
    <xf numFmtId="0" fontId="13" fillId="0" borderId="1" xfId="0" applyFont="1" applyBorder="1" applyAlignment="1">
      <alignment vertical="center" wrapText="1"/>
    </xf>
    <xf numFmtId="0" fontId="5" fillId="0" borderId="0" xfId="0" applyFont="1" applyAlignment="1">
      <alignment horizontal="center"/>
    </xf>
    <xf numFmtId="0" fontId="2" fillId="0" borderId="1" xfId="0" applyFont="1" applyBorder="1" applyAlignment="1">
      <alignment horizontal="center" vertical="center" wrapText="1"/>
    </xf>
    <xf numFmtId="0" fontId="6" fillId="0" borderId="0" xfId="0" applyFont="1"/>
    <xf numFmtId="3" fontId="7" fillId="0" borderId="1" xfId="0" applyNumberFormat="1" applyFont="1" applyBorder="1" applyAlignment="1">
      <alignment horizontal="center"/>
    </xf>
    <xf numFmtId="0" fontId="7" fillId="0" borderId="0" xfId="0" applyFont="1"/>
    <xf numFmtId="0" fontId="37" fillId="0" borderId="0" xfId="0" applyFont="1" applyAlignment="1">
      <alignment horizontal="center" vertical="center"/>
    </xf>
    <xf numFmtId="0" fontId="37" fillId="0" borderId="0" xfId="0" applyFont="1"/>
    <xf numFmtId="0" fontId="37" fillId="0" borderId="0" xfId="0" applyFont="1" applyAlignment="1">
      <alignment horizontal="center"/>
    </xf>
    <xf numFmtId="0" fontId="1" fillId="0" borderId="0" xfId="0" applyFont="1"/>
    <xf numFmtId="0" fontId="38" fillId="0" borderId="1" xfId="0" applyFont="1" applyBorder="1" applyAlignment="1">
      <alignment horizontal="center" vertical="center"/>
    </xf>
    <xf numFmtId="3" fontId="38" fillId="0" borderId="1" xfId="0" applyNumberFormat="1" applyFont="1" applyBorder="1"/>
    <xf numFmtId="0" fontId="38" fillId="0" borderId="1" xfId="0" applyFont="1" applyBorder="1" applyAlignment="1">
      <alignment horizontal="center"/>
    </xf>
    <xf numFmtId="0" fontId="3" fillId="0" borderId="1" xfId="0" applyFont="1" applyBorder="1"/>
    <xf numFmtId="0" fontId="38" fillId="0" borderId="0" xfId="0" applyFont="1"/>
    <xf numFmtId="0" fontId="37" fillId="0" borderId="1" xfId="0" applyFont="1" applyBorder="1" applyAlignment="1">
      <alignment horizontal="center" vertical="center"/>
    </xf>
    <xf numFmtId="3" fontId="37" fillId="0" borderId="1" xfId="0" applyNumberFormat="1" applyFont="1" applyBorder="1"/>
    <xf numFmtId="0" fontId="37" fillId="0" borderId="1" xfId="0" applyFont="1" applyBorder="1" applyAlignment="1">
      <alignment horizontal="center"/>
    </xf>
    <xf numFmtId="0" fontId="37" fillId="0" borderId="0" xfId="0" applyFont="1" applyAlignment="1">
      <alignment horizontal="left" vertical="center"/>
    </xf>
    <xf numFmtId="0" fontId="4" fillId="2" borderId="0" xfId="0" applyFont="1" applyFill="1" applyAlignment="1">
      <alignment vertical="center"/>
    </xf>
    <xf numFmtId="0" fontId="4" fillId="2" borderId="0" xfId="0" applyFont="1" applyFill="1"/>
    <xf numFmtId="0" fontId="5" fillId="2" borderId="0" xfId="0" applyFont="1" applyFill="1" applyAlignment="1">
      <alignment vertical="center"/>
    </xf>
    <xf numFmtId="0" fontId="5" fillId="2" borderId="0" xfId="0" applyFont="1" applyFill="1"/>
    <xf numFmtId="0" fontId="10" fillId="0" borderId="1" xfId="0" applyFont="1" applyBorder="1" applyAlignment="1">
      <alignment horizontal="center" vertical="center"/>
    </xf>
    <xf numFmtId="3" fontId="10" fillId="0" borderId="1" xfId="0" applyNumberFormat="1" applyFont="1" applyBorder="1" applyAlignment="1">
      <alignment horizontal="center" vertical="center"/>
    </xf>
    <xf numFmtId="0" fontId="10" fillId="0" borderId="0" xfId="0" applyFont="1"/>
    <xf numFmtId="3" fontId="4" fillId="0" borderId="0" xfId="0" applyNumberFormat="1" applyFont="1" applyAlignment="1">
      <alignment horizontal="center" vertical="center"/>
    </xf>
    <xf numFmtId="3" fontId="8" fillId="0" borderId="0" xfId="0" quotePrefix="1" applyNumberFormat="1" applyFont="1" applyAlignment="1">
      <alignment horizontal="center" vertical="center"/>
    </xf>
    <xf numFmtId="3" fontId="8" fillId="0" borderId="0" xfId="0" applyNumberFormat="1" applyFont="1" applyAlignment="1">
      <alignment horizontal="center" vertical="center"/>
    </xf>
    <xf numFmtId="3" fontId="6" fillId="0" borderId="0" xfId="0" applyNumberFormat="1" applyFont="1" applyAlignment="1">
      <alignment vertical="center"/>
    </xf>
    <xf numFmtId="3" fontId="9" fillId="0" borderId="1" xfId="0" applyNumberFormat="1" applyFont="1" applyBorder="1" applyAlignment="1">
      <alignment vertical="center"/>
    </xf>
    <xf numFmtId="0" fontId="13" fillId="0" borderId="6" xfId="0" applyFont="1" applyBorder="1" applyAlignment="1">
      <alignment horizontal="justify" vertical="center" wrapText="1"/>
    </xf>
    <xf numFmtId="0" fontId="13" fillId="0" borderId="20" xfId="0" applyFont="1" applyBorder="1" applyAlignment="1">
      <alignment horizontal="justify" vertical="center"/>
    </xf>
    <xf numFmtId="0" fontId="13" fillId="0" borderId="12" xfId="0" applyFont="1" applyBorder="1" applyAlignment="1">
      <alignment horizontal="justify" vertical="center"/>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0" fontId="4"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0" fontId="6" fillId="0" borderId="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4" fillId="0" borderId="0" xfId="0" applyFont="1" applyAlignment="1">
      <alignment horizontal="center" vertical="center"/>
    </xf>
    <xf numFmtId="0" fontId="6" fillId="0" borderId="12" xfId="0" applyFont="1" applyBorder="1" applyAlignment="1">
      <alignment horizontal="center" vertical="center"/>
    </xf>
    <xf numFmtId="0" fontId="24" fillId="0" borderId="0" xfId="0" applyFont="1" applyAlignment="1">
      <alignment horizontal="center"/>
    </xf>
    <xf numFmtId="0" fontId="24" fillId="0" borderId="21" xfId="0" applyFont="1" applyBorder="1" applyAlignment="1">
      <alignment horizontal="left" vertical="center" wrapText="1"/>
    </xf>
    <xf numFmtId="0" fontId="24" fillId="0" borderId="21" xfId="0" applyFont="1" applyBorder="1" applyAlignment="1">
      <alignment horizontal="left" vertical="center"/>
    </xf>
    <xf numFmtId="0" fontId="26" fillId="0" borderId="1" xfId="0" applyFont="1" applyBorder="1" applyAlignment="1">
      <alignment horizontal="center" vertical="center"/>
    </xf>
    <xf numFmtId="0" fontId="30" fillId="0" borderId="1" xfId="0" applyFont="1" applyBorder="1" applyAlignment="1">
      <alignment horizontal="center" vertical="center"/>
    </xf>
    <xf numFmtId="0" fontId="24" fillId="0" borderId="1" xfId="0" applyFont="1" applyBorder="1" applyAlignment="1">
      <alignment horizontal="left" vertical="center" wrapText="1"/>
    </xf>
    <xf numFmtId="0" fontId="24" fillId="0" borderId="1" xfId="0" applyFont="1" applyBorder="1" applyAlignment="1">
      <alignment horizontal="left" vertical="center"/>
    </xf>
    <xf numFmtId="0" fontId="26" fillId="0" borderId="2" xfId="0"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4" fillId="0" borderId="1" xfId="0" applyFont="1" applyBorder="1" applyAlignment="1">
      <alignment horizontal="center" vertical="center"/>
    </xf>
    <xf numFmtId="0" fontId="24" fillId="0" borderId="0" xfId="0" applyFont="1" applyAlignment="1">
      <alignment horizontal="center" wrapText="1"/>
    </xf>
    <xf numFmtId="0" fontId="9" fillId="0" borderId="0" xfId="1" applyFont="1" applyAlignment="1">
      <alignment horizontal="center" wrapText="1"/>
    </xf>
    <xf numFmtId="0" fontId="9" fillId="0" borderId="1" xfId="1" applyFont="1" applyBorder="1" applyAlignment="1">
      <alignment horizontal="left" vertical="center"/>
    </xf>
    <xf numFmtId="0" fontId="12" fillId="0" borderId="22" xfId="1" applyBorder="1" applyAlignment="1">
      <alignment horizontal="center" vertical="center"/>
    </xf>
    <xf numFmtId="0" fontId="12" fillId="0" borderId="3" xfId="1" applyBorder="1" applyAlignment="1">
      <alignment horizontal="center" vertical="center"/>
    </xf>
    <xf numFmtId="0" fontId="12" fillId="0" borderId="23" xfId="1" applyBorder="1" applyAlignment="1">
      <alignment horizontal="center" vertical="center"/>
    </xf>
    <xf numFmtId="0" fontId="12" fillId="0" borderId="1" xfId="1" applyBorder="1" applyAlignment="1">
      <alignment horizontal="center" vertical="center"/>
    </xf>
    <xf numFmtId="0" fontId="9" fillId="0" borderId="23" xfId="1" applyFont="1" applyBorder="1" applyAlignment="1">
      <alignment horizontal="center" vertical="center"/>
    </xf>
    <xf numFmtId="0" fontId="9" fillId="0" borderId="24" xfId="1" applyFont="1" applyBorder="1" applyAlignment="1">
      <alignment horizontal="center" vertical="center"/>
    </xf>
    <xf numFmtId="0" fontId="9" fillId="0" borderId="1" xfId="1" applyFont="1" applyBorder="1" applyAlignment="1">
      <alignment horizontal="left"/>
    </xf>
    <xf numFmtId="0" fontId="9" fillId="0" borderId="1" xfId="1" applyFont="1" applyBorder="1" applyAlignment="1">
      <alignment horizontal="center" vertical="center"/>
    </xf>
    <xf numFmtId="0" fontId="9" fillId="0" borderId="1" xfId="1" applyFont="1" applyBorder="1" applyAlignment="1">
      <alignment horizontal="center" vertical="center" wrapText="1"/>
    </xf>
    <xf numFmtId="0" fontId="9" fillId="0" borderId="1" xfId="1" applyFont="1" applyBorder="1" applyAlignment="1">
      <alignment horizontal="left" vertical="center" wrapText="1"/>
    </xf>
    <xf numFmtId="0" fontId="10" fillId="0" borderId="1" xfId="1" applyFont="1" applyBorder="1" applyAlignment="1">
      <alignment horizontal="left" vertical="center"/>
    </xf>
    <xf numFmtId="0" fontId="10" fillId="0" borderId="1" xfId="1" applyFont="1" applyBorder="1" applyAlignment="1">
      <alignment horizontal="left"/>
    </xf>
    <xf numFmtId="0" fontId="9" fillId="0" borderId="2" xfId="1" applyFont="1" applyBorder="1" applyAlignment="1">
      <alignment horizontal="left"/>
    </xf>
    <xf numFmtId="0" fontId="9" fillId="0" borderId="13" xfId="1" applyFont="1" applyBorder="1" applyAlignment="1">
      <alignment horizontal="left"/>
    </xf>
    <xf numFmtId="0" fontId="9" fillId="0" borderId="14" xfId="1" applyFont="1" applyBorder="1" applyAlignment="1">
      <alignment horizontal="left"/>
    </xf>
    <xf numFmtId="0" fontId="9" fillId="0" borderId="20" xfId="1" applyFont="1" applyBorder="1" applyAlignment="1">
      <alignment horizontal="center" vertical="center" wrapText="1"/>
    </xf>
    <xf numFmtId="0" fontId="9" fillId="0" borderId="12" xfId="1" applyFont="1" applyBorder="1" applyAlignment="1">
      <alignment horizontal="center" vertical="center" wrapText="1"/>
    </xf>
  </cellXfs>
  <cellStyles count="2">
    <cellStyle name="Normal" xfId="0" builtinId="0"/>
    <cellStyle name="Normal 2" xfId="1" xr:uid="{00000000-0005-0000-0000-000001000000}"/>
  </cellStyles>
  <dxfs count="4">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15351</xdr:colOff>
      <xdr:row>2</xdr:row>
      <xdr:rowOff>12852</xdr:rowOff>
    </xdr:from>
    <xdr:to>
      <xdr:col>15</xdr:col>
      <xdr:colOff>176636</xdr:colOff>
      <xdr:row>2</xdr:row>
      <xdr:rowOff>12852</xdr:rowOff>
    </xdr:to>
    <xdr:cxnSp macro="">
      <xdr:nvCxnSpPr>
        <xdr:cNvPr id="3" name="Straight Connector 2">
          <a:extLst>
            <a:ext uri="{FF2B5EF4-FFF2-40B4-BE49-F238E27FC236}">
              <a16:creationId xmlns:a16="http://schemas.microsoft.com/office/drawing/2014/main" id="{4E369394-683F-4141-A62C-DD455935D4C0}"/>
            </a:ext>
          </a:extLst>
        </xdr:cNvPr>
        <xdr:cNvCxnSpPr/>
      </xdr:nvCxnSpPr>
      <xdr:spPr>
        <a:xfrm>
          <a:off x="5374199" y="493243"/>
          <a:ext cx="135388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361950</xdr:colOff>
      <xdr:row>2</xdr:row>
      <xdr:rowOff>19050</xdr:rowOff>
    </xdr:from>
    <xdr:to>
      <xdr:col>8</xdr:col>
      <xdr:colOff>476250</xdr:colOff>
      <xdr:row>2</xdr:row>
      <xdr:rowOff>19050</xdr:rowOff>
    </xdr:to>
    <xdr:cxnSp macro="">
      <xdr:nvCxnSpPr>
        <xdr:cNvPr id="3" name="Straight Connector 2">
          <a:extLst>
            <a:ext uri="{FF2B5EF4-FFF2-40B4-BE49-F238E27FC236}">
              <a16:creationId xmlns:a16="http://schemas.microsoft.com/office/drawing/2014/main" id="{4D19732B-85E0-4018-BED5-D8D2AF0F0462}"/>
            </a:ext>
          </a:extLst>
        </xdr:cNvPr>
        <xdr:cNvCxnSpPr/>
      </xdr:nvCxnSpPr>
      <xdr:spPr>
        <a:xfrm>
          <a:off x="6115050" y="495300"/>
          <a:ext cx="12668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190500</xdr:colOff>
      <xdr:row>2</xdr:row>
      <xdr:rowOff>9525</xdr:rowOff>
    </xdr:from>
    <xdr:to>
      <xdr:col>9</xdr:col>
      <xdr:colOff>561975</xdr:colOff>
      <xdr:row>2</xdr:row>
      <xdr:rowOff>9525</xdr:rowOff>
    </xdr:to>
    <xdr:cxnSp macro="">
      <xdr:nvCxnSpPr>
        <xdr:cNvPr id="2" name="Straight Connector 1">
          <a:extLst>
            <a:ext uri="{FF2B5EF4-FFF2-40B4-BE49-F238E27FC236}">
              <a16:creationId xmlns:a16="http://schemas.microsoft.com/office/drawing/2014/main" id="{B6900EAC-9C2F-4475-9568-B30F2E8F414D}"/>
            </a:ext>
          </a:extLst>
        </xdr:cNvPr>
        <xdr:cNvCxnSpPr/>
      </xdr:nvCxnSpPr>
      <xdr:spPr>
        <a:xfrm>
          <a:off x="6057900" y="485775"/>
          <a:ext cx="2457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111859</xdr:colOff>
      <xdr:row>1</xdr:row>
      <xdr:rowOff>1030770</xdr:rowOff>
    </xdr:from>
    <xdr:to>
      <xdr:col>12</xdr:col>
      <xdr:colOff>178534</xdr:colOff>
      <xdr:row>1</xdr:row>
      <xdr:rowOff>1030770</xdr:rowOff>
    </xdr:to>
    <xdr:cxnSp macro="">
      <xdr:nvCxnSpPr>
        <xdr:cNvPr id="2" name="Straight Connector 1">
          <a:extLst>
            <a:ext uri="{FF2B5EF4-FFF2-40B4-BE49-F238E27FC236}">
              <a16:creationId xmlns:a16="http://schemas.microsoft.com/office/drawing/2014/main" id="{207E3F05-3CC7-444F-98D6-35A41B74A94A}"/>
            </a:ext>
          </a:extLst>
        </xdr:cNvPr>
        <xdr:cNvCxnSpPr/>
      </xdr:nvCxnSpPr>
      <xdr:spPr>
        <a:xfrm>
          <a:off x="4957185" y="1270966"/>
          <a:ext cx="154097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720090</xdr:colOff>
      <xdr:row>2</xdr:row>
      <xdr:rowOff>13335</xdr:rowOff>
    </xdr:from>
    <xdr:to>
      <xdr:col>11</xdr:col>
      <xdr:colOff>767701</xdr:colOff>
      <xdr:row>2</xdr:row>
      <xdr:rowOff>13335</xdr:rowOff>
    </xdr:to>
    <xdr:cxnSp macro="">
      <xdr:nvCxnSpPr>
        <xdr:cNvPr id="2" name="Straight Connector 1">
          <a:extLst>
            <a:ext uri="{FF2B5EF4-FFF2-40B4-BE49-F238E27FC236}">
              <a16:creationId xmlns:a16="http://schemas.microsoft.com/office/drawing/2014/main" id="{9E00F21B-099C-4D66-BF29-2034C31D62FF}"/>
            </a:ext>
          </a:extLst>
        </xdr:cNvPr>
        <xdr:cNvCxnSpPr/>
      </xdr:nvCxnSpPr>
      <xdr:spPr>
        <a:xfrm>
          <a:off x="6457950" y="981075"/>
          <a:ext cx="222693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659130</xdr:colOff>
      <xdr:row>2</xdr:row>
      <xdr:rowOff>13335</xdr:rowOff>
    </xdr:from>
    <xdr:to>
      <xdr:col>11</xdr:col>
      <xdr:colOff>706741</xdr:colOff>
      <xdr:row>2</xdr:row>
      <xdr:rowOff>13335</xdr:rowOff>
    </xdr:to>
    <xdr:cxnSp macro="">
      <xdr:nvCxnSpPr>
        <xdr:cNvPr id="2" name="Straight Connector 1">
          <a:extLst>
            <a:ext uri="{FF2B5EF4-FFF2-40B4-BE49-F238E27FC236}">
              <a16:creationId xmlns:a16="http://schemas.microsoft.com/office/drawing/2014/main" id="{D84B1AA1-9D07-4B8A-B2DB-3EA489AA812E}"/>
            </a:ext>
          </a:extLst>
        </xdr:cNvPr>
        <xdr:cNvCxnSpPr/>
      </xdr:nvCxnSpPr>
      <xdr:spPr>
        <a:xfrm>
          <a:off x="6396990" y="1224915"/>
          <a:ext cx="222693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720090</xdr:colOff>
      <xdr:row>2</xdr:row>
      <xdr:rowOff>13335</xdr:rowOff>
    </xdr:from>
    <xdr:to>
      <xdr:col>11</xdr:col>
      <xdr:colOff>767701</xdr:colOff>
      <xdr:row>2</xdr:row>
      <xdr:rowOff>13335</xdr:rowOff>
    </xdr:to>
    <xdr:cxnSp macro="">
      <xdr:nvCxnSpPr>
        <xdr:cNvPr id="2" name="Straight Connector 1">
          <a:extLst>
            <a:ext uri="{FF2B5EF4-FFF2-40B4-BE49-F238E27FC236}">
              <a16:creationId xmlns:a16="http://schemas.microsoft.com/office/drawing/2014/main" id="{3B7063AB-A0EF-4985-9307-0DDDA2888D34}"/>
            </a:ext>
          </a:extLst>
        </xdr:cNvPr>
        <xdr:cNvCxnSpPr/>
      </xdr:nvCxnSpPr>
      <xdr:spPr>
        <a:xfrm>
          <a:off x="6457950" y="1224915"/>
          <a:ext cx="222693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556260</xdr:colOff>
      <xdr:row>2</xdr:row>
      <xdr:rowOff>30480</xdr:rowOff>
    </xdr:from>
    <xdr:to>
      <xdr:col>10</xdr:col>
      <xdr:colOff>194310</xdr:colOff>
      <xdr:row>2</xdr:row>
      <xdr:rowOff>30480</xdr:rowOff>
    </xdr:to>
    <xdr:cxnSp macro="">
      <xdr:nvCxnSpPr>
        <xdr:cNvPr id="3" name="Straight Connector 2">
          <a:extLst>
            <a:ext uri="{FF2B5EF4-FFF2-40B4-BE49-F238E27FC236}">
              <a16:creationId xmlns:a16="http://schemas.microsoft.com/office/drawing/2014/main" id="{6F627AE7-05C6-4BE3-84EC-53FD1D9F16F3}"/>
            </a:ext>
          </a:extLst>
        </xdr:cNvPr>
        <xdr:cNvCxnSpPr/>
      </xdr:nvCxnSpPr>
      <xdr:spPr>
        <a:xfrm>
          <a:off x="6461760" y="861060"/>
          <a:ext cx="119253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613329</xdr:colOff>
      <xdr:row>2</xdr:row>
      <xdr:rowOff>28575</xdr:rowOff>
    </xdr:from>
    <xdr:to>
      <xdr:col>4</xdr:col>
      <xdr:colOff>794304</xdr:colOff>
      <xdr:row>2</xdr:row>
      <xdr:rowOff>28575</xdr:rowOff>
    </xdr:to>
    <xdr:cxnSp macro="">
      <xdr:nvCxnSpPr>
        <xdr:cNvPr id="2" name="Straight Connector 1">
          <a:extLst>
            <a:ext uri="{FF2B5EF4-FFF2-40B4-BE49-F238E27FC236}">
              <a16:creationId xmlns:a16="http://schemas.microsoft.com/office/drawing/2014/main" id="{6B8E82F7-3CDE-446A-B029-CA297B49458A}"/>
            </a:ext>
          </a:extLst>
        </xdr:cNvPr>
        <xdr:cNvCxnSpPr/>
      </xdr:nvCxnSpPr>
      <xdr:spPr>
        <a:xfrm>
          <a:off x="4978264" y="508966"/>
          <a:ext cx="149791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1219200</xdr:colOff>
      <xdr:row>2</xdr:row>
      <xdr:rowOff>28575</xdr:rowOff>
    </xdr:from>
    <xdr:to>
      <xdr:col>4</xdr:col>
      <xdr:colOff>85725</xdr:colOff>
      <xdr:row>2</xdr:row>
      <xdr:rowOff>28575</xdr:rowOff>
    </xdr:to>
    <xdr:cxnSp macro="">
      <xdr:nvCxnSpPr>
        <xdr:cNvPr id="2" name="Straight Connector 1">
          <a:extLst>
            <a:ext uri="{FF2B5EF4-FFF2-40B4-BE49-F238E27FC236}">
              <a16:creationId xmlns:a16="http://schemas.microsoft.com/office/drawing/2014/main" id="{9C3E87AE-9166-47E8-ACBC-C6ECFF916109}"/>
            </a:ext>
          </a:extLst>
        </xdr:cNvPr>
        <xdr:cNvCxnSpPr/>
      </xdr:nvCxnSpPr>
      <xdr:spPr>
        <a:xfrm>
          <a:off x="4724400" y="981075"/>
          <a:ext cx="1285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4"/>
  <sheetViews>
    <sheetView zoomScaleNormal="100" workbookViewId="0">
      <pane xSplit="5" ySplit="7" topLeftCell="F12" activePane="bottomRight" state="frozen"/>
      <selection pane="topRight" activeCell="F1" sqref="F1"/>
      <selection pane="bottomLeft" activeCell="A9" sqref="A9"/>
      <selection pane="bottomRight" activeCell="A18" sqref="A18:XFD18"/>
    </sheetView>
  </sheetViews>
  <sheetFormatPr defaultColWidth="9" defaultRowHeight="15" outlineLevelRow="1" x14ac:dyDescent="0.25"/>
  <cols>
    <col min="1" max="1" width="17.7109375" style="143" customWidth="1"/>
    <col min="2" max="2" width="8.5703125" style="144" customWidth="1"/>
    <col min="3" max="3" width="6.85546875" style="145" customWidth="1"/>
    <col min="4" max="4" width="7.28515625" style="145" customWidth="1"/>
    <col min="5" max="5" width="8.85546875" style="146" customWidth="1"/>
    <col min="6" max="6" width="5.7109375" style="146" customWidth="1"/>
    <col min="7" max="7" width="6.85546875" style="146" customWidth="1"/>
    <col min="8" max="8" width="6.28515625" style="146" customWidth="1"/>
    <col min="9" max="9" width="6.5703125" style="146" customWidth="1"/>
    <col min="10" max="10" width="5.42578125" style="146" customWidth="1"/>
    <col min="11" max="11" width="6.28515625" style="146" bestFit="1" customWidth="1"/>
    <col min="12" max="12" width="5.140625" style="146" customWidth="1"/>
    <col min="13" max="13" width="6.28515625" style="146" bestFit="1" customWidth="1"/>
    <col min="14" max="14" width="6.7109375" style="146" customWidth="1"/>
    <col min="15" max="15" width="4" style="146" bestFit="1" customWidth="1"/>
    <col min="16" max="16" width="3.42578125" style="146" bestFit="1" customWidth="1"/>
    <col min="17" max="17" width="8.5703125" style="146" customWidth="1"/>
    <col min="18" max="18" width="3" style="146" bestFit="1" customWidth="1"/>
    <col min="19" max="19" width="6" style="146" customWidth="1"/>
    <col min="20" max="20" width="4.42578125" style="146" bestFit="1" customWidth="1"/>
    <col min="21" max="21" width="4.42578125" style="146" customWidth="1"/>
    <col min="22" max="22" width="5.42578125" style="146" bestFit="1" customWidth="1"/>
    <col min="23" max="23" width="4" style="146" bestFit="1" customWidth="1"/>
    <col min="24" max="24" width="2.28515625" style="146" bestFit="1" customWidth="1"/>
    <col min="25" max="25" width="6.28515625" style="146" bestFit="1" customWidth="1"/>
    <col min="26" max="26" width="5.140625" style="146" customWidth="1"/>
    <col min="27" max="27" width="4" style="146" bestFit="1" customWidth="1"/>
    <col min="28" max="28" width="6.28515625" style="146" bestFit="1" customWidth="1"/>
    <col min="29" max="29" width="3" style="146" bestFit="1" customWidth="1"/>
    <col min="30" max="31" width="4.42578125" style="146" bestFit="1" customWidth="1"/>
    <col min="32" max="32" width="7" style="146" customWidth="1"/>
    <col min="33" max="33" width="6" style="146" customWidth="1"/>
    <col min="34" max="16384" width="9" style="144"/>
  </cols>
  <sheetData>
    <row r="1" spans="1:33" s="2" customFormat="1" ht="18.75" x14ac:dyDescent="0.3">
      <c r="A1" s="173" t="s">
        <v>183</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row>
    <row r="2" spans="1:33" s="2" customFormat="1" ht="51.75" customHeight="1" x14ac:dyDescent="0.3">
      <c r="A2" s="174" t="s">
        <v>357</v>
      </c>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row>
    <row r="3" spans="1:33" s="3" customFormat="1" ht="9.75" customHeight="1" x14ac:dyDescent="0.3">
      <c r="A3" s="13"/>
      <c r="C3" s="138"/>
      <c r="D3" s="138"/>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row>
    <row r="4" spans="1:33" s="4" customFormat="1" ht="24.75" customHeight="1" x14ac:dyDescent="0.25">
      <c r="A4" s="177" t="s">
        <v>1</v>
      </c>
      <c r="B4" s="177" t="s">
        <v>248</v>
      </c>
      <c r="C4" s="176" t="s">
        <v>200</v>
      </c>
      <c r="D4" s="176"/>
      <c r="E4" s="183" t="s">
        <v>2</v>
      </c>
      <c r="F4" s="184"/>
      <c r="G4" s="184"/>
      <c r="H4" s="184"/>
      <c r="I4" s="184"/>
      <c r="J4" s="185"/>
      <c r="K4" s="183" t="s">
        <v>15</v>
      </c>
      <c r="L4" s="184"/>
      <c r="M4" s="184"/>
      <c r="N4" s="184"/>
      <c r="O4" s="184"/>
      <c r="P4" s="184"/>
      <c r="Q4" s="184"/>
      <c r="R4" s="184"/>
      <c r="S4" s="184"/>
      <c r="T4" s="184"/>
      <c r="U4" s="184"/>
      <c r="V4" s="184"/>
      <c r="W4" s="184"/>
      <c r="X4" s="184"/>
      <c r="Y4" s="184"/>
      <c r="Z4" s="184"/>
      <c r="AA4" s="184"/>
      <c r="AB4" s="184"/>
      <c r="AC4" s="184"/>
      <c r="AD4" s="184"/>
      <c r="AE4" s="184"/>
      <c r="AF4" s="184"/>
      <c r="AG4" s="185"/>
    </row>
    <row r="5" spans="1:33" s="4" customFormat="1" ht="44.25" customHeight="1" x14ac:dyDescent="0.25">
      <c r="A5" s="177"/>
      <c r="B5" s="176"/>
      <c r="C5" s="176"/>
      <c r="D5" s="176"/>
      <c r="E5" s="180" t="s">
        <v>4</v>
      </c>
      <c r="F5" s="183" t="s">
        <v>3</v>
      </c>
      <c r="G5" s="184"/>
      <c r="H5" s="184"/>
      <c r="I5" s="184"/>
      <c r="J5" s="185"/>
      <c r="K5" s="180" t="s">
        <v>20</v>
      </c>
      <c r="L5" s="179"/>
      <c r="M5" s="180" t="s">
        <v>19</v>
      </c>
      <c r="N5" s="180"/>
      <c r="O5" s="180"/>
      <c r="P5" s="179"/>
      <c r="Q5" s="179" t="s">
        <v>13</v>
      </c>
      <c r="R5" s="179"/>
      <c r="S5" s="179"/>
      <c r="T5" s="179"/>
      <c r="U5" s="179"/>
      <c r="V5" s="183" t="s">
        <v>0</v>
      </c>
      <c r="W5" s="184"/>
      <c r="X5" s="185"/>
      <c r="Y5" s="180" t="s">
        <v>21</v>
      </c>
      <c r="Z5" s="179"/>
      <c r="AA5" s="179"/>
      <c r="AB5" s="180" t="s">
        <v>22</v>
      </c>
      <c r="AC5" s="179"/>
      <c r="AD5" s="179"/>
      <c r="AE5" s="179"/>
      <c r="AF5" s="181" t="s">
        <v>319</v>
      </c>
      <c r="AG5" s="182"/>
    </row>
    <row r="6" spans="1:33" s="4" customFormat="1" ht="74.25" customHeight="1" x14ac:dyDescent="0.25">
      <c r="A6" s="177"/>
      <c r="B6" s="176"/>
      <c r="C6" s="5" t="s">
        <v>4</v>
      </c>
      <c r="D6" s="5" t="s">
        <v>201</v>
      </c>
      <c r="E6" s="179"/>
      <c r="F6" s="139" t="s">
        <v>6</v>
      </c>
      <c r="G6" s="139" t="s">
        <v>5</v>
      </c>
      <c r="H6" s="139" t="s">
        <v>7</v>
      </c>
      <c r="I6" s="139" t="s">
        <v>8</v>
      </c>
      <c r="J6" s="139" t="s">
        <v>12</v>
      </c>
      <c r="K6" s="139" t="s">
        <v>4</v>
      </c>
      <c r="L6" s="139" t="s">
        <v>10</v>
      </c>
      <c r="M6" s="139" t="s">
        <v>4</v>
      </c>
      <c r="N6" s="139" t="s">
        <v>65</v>
      </c>
      <c r="O6" s="139" t="s">
        <v>10</v>
      </c>
      <c r="P6" s="139" t="s">
        <v>11</v>
      </c>
      <c r="Q6" s="139" t="s">
        <v>4</v>
      </c>
      <c r="R6" s="139" t="s">
        <v>9</v>
      </c>
      <c r="S6" s="139" t="s">
        <v>10</v>
      </c>
      <c r="T6" s="139" t="s">
        <v>11</v>
      </c>
      <c r="U6" s="139" t="s">
        <v>12</v>
      </c>
      <c r="V6" s="139" t="s">
        <v>4</v>
      </c>
      <c r="W6" s="139" t="s">
        <v>10</v>
      </c>
      <c r="X6" s="139" t="s">
        <v>11</v>
      </c>
      <c r="Y6" s="139" t="s">
        <v>4</v>
      </c>
      <c r="Z6" s="139" t="s">
        <v>9</v>
      </c>
      <c r="AA6" s="139" t="s">
        <v>10</v>
      </c>
      <c r="AB6" s="139" t="s">
        <v>4</v>
      </c>
      <c r="AC6" s="139" t="s">
        <v>9</v>
      </c>
      <c r="AD6" s="139" t="s">
        <v>10</v>
      </c>
      <c r="AE6" s="139" t="s">
        <v>14</v>
      </c>
      <c r="AF6" s="139" t="s">
        <v>4</v>
      </c>
      <c r="AG6" s="139" t="s">
        <v>11</v>
      </c>
    </row>
    <row r="7" spans="1:33" s="140" customFormat="1" ht="47.25" customHeight="1" x14ac:dyDescent="0.25">
      <c r="A7" s="6" t="s">
        <v>27</v>
      </c>
      <c r="B7" s="55">
        <v>1083</v>
      </c>
      <c r="C7" s="55">
        <f t="shared" ref="C7:AG7" si="0">C8+C12+C14</f>
        <v>1</v>
      </c>
      <c r="D7" s="55">
        <f t="shared" si="0"/>
        <v>1</v>
      </c>
      <c r="E7" s="55">
        <f t="shared" si="0"/>
        <v>0</v>
      </c>
      <c r="F7" s="55">
        <f t="shared" si="0"/>
        <v>0</v>
      </c>
      <c r="G7" s="55">
        <f t="shared" si="0"/>
        <v>0</v>
      </c>
      <c r="H7" s="55">
        <f t="shared" si="0"/>
        <v>0</v>
      </c>
      <c r="I7" s="55">
        <f t="shared" si="0"/>
        <v>0</v>
      </c>
      <c r="J7" s="55">
        <f t="shared" si="0"/>
        <v>0</v>
      </c>
      <c r="K7" s="55">
        <f t="shared" si="0"/>
        <v>84</v>
      </c>
      <c r="L7" s="55">
        <f t="shared" si="0"/>
        <v>3</v>
      </c>
      <c r="M7" s="55">
        <f t="shared" si="0"/>
        <v>28</v>
      </c>
      <c r="N7" s="55">
        <f t="shared" si="0"/>
        <v>0</v>
      </c>
      <c r="O7" s="55">
        <f t="shared" si="0"/>
        <v>1</v>
      </c>
      <c r="P7" s="55">
        <f t="shared" si="0"/>
        <v>0</v>
      </c>
      <c r="Q7" s="55">
        <f t="shared" si="0"/>
        <v>791</v>
      </c>
      <c r="R7" s="55">
        <f t="shared" si="0"/>
        <v>0</v>
      </c>
      <c r="S7" s="55">
        <f t="shared" si="0"/>
        <v>17</v>
      </c>
      <c r="T7" s="55">
        <f t="shared" si="0"/>
        <v>35</v>
      </c>
      <c r="U7" s="55">
        <f t="shared" si="0"/>
        <v>0</v>
      </c>
      <c r="V7" s="55">
        <f t="shared" si="0"/>
        <v>0</v>
      </c>
      <c r="W7" s="55">
        <f t="shared" si="0"/>
        <v>0</v>
      </c>
      <c r="X7" s="55">
        <f t="shared" si="0"/>
        <v>0</v>
      </c>
      <c r="Y7" s="55">
        <f t="shared" si="0"/>
        <v>84</v>
      </c>
      <c r="Z7" s="55">
        <f t="shared" si="0"/>
        <v>1</v>
      </c>
      <c r="AA7" s="55">
        <f t="shared" si="0"/>
        <v>1</v>
      </c>
      <c r="AB7" s="55">
        <f t="shared" si="0"/>
        <v>36</v>
      </c>
      <c r="AC7" s="55">
        <f t="shared" si="0"/>
        <v>0</v>
      </c>
      <c r="AD7" s="55">
        <f t="shared" si="0"/>
        <v>2</v>
      </c>
      <c r="AE7" s="55">
        <f t="shared" si="0"/>
        <v>1</v>
      </c>
      <c r="AF7" s="55">
        <f t="shared" si="0"/>
        <v>78</v>
      </c>
      <c r="AG7" s="55">
        <f t="shared" si="0"/>
        <v>10</v>
      </c>
    </row>
    <row r="8" spans="1:33" s="140" customFormat="1" ht="31.5" hidden="1" x14ac:dyDescent="0.25">
      <c r="A8" s="5" t="s">
        <v>16</v>
      </c>
      <c r="B8" s="55">
        <f>SUM(B9:B11)</f>
        <v>0</v>
      </c>
      <c r="C8" s="55">
        <f t="shared" ref="C8:AG8" si="1">SUM(C9:C11)</f>
        <v>0</v>
      </c>
      <c r="D8" s="55">
        <f t="shared" si="1"/>
        <v>0</v>
      </c>
      <c r="E8" s="55">
        <f t="shared" si="1"/>
        <v>0</v>
      </c>
      <c r="F8" s="55">
        <f t="shared" si="1"/>
        <v>0</v>
      </c>
      <c r="G8" s="55">
        <f t="shared" si="1"/>
        <v>0</v>
      </c>
      <c r="H8" s="55">
        <f t="shared" si="1"/>
        <v>0</v>
      </c>
      <c r="I8" s="55">
        <f t="shared" si="1"/>
        <v>0</v>
      </c>
      <c r="J8" s="55">
        <f t="shared" si="1"/>
        <v>0</v>
      </c>
      <c r="K8" s="55">
        <f t="shared" si="1"/>
        <v>0</v>
      </c>
      <c r="L8" s="55">
        <f t="shared" si="1"/>
        <v>0</v>
      </c>
      <c r="M8" s="55">
        <f t="shared" si="1"/>
        <v>0</v>
      </c>
      <c r="N8" s="55">
        <f t="shared" si="1"/>
        <v>0</v>
      </c>
      <c r="O8" s="55">
        <f t="shared" si="1"/>
        <v>0</v>
      </c>
      <c r="P8" s="55">
        <f t="shared" si="1"/>
        <v>0</v>
      </c>
      <c r="Q8" s="55">
        <f t="shared" si="1"/>
        <v>0</v>
      </c>
      <c r="R8" s="55">
        <f t="shared" si="1"/>
        <v>0</v>
      </c>
      <c r="S8" s="55">
        <f t="shared" si="1"/>
        <v>0</v>
      </c>
      <c r="T8" s="55">
        <f t="shared" si="1"/>
        <v>0</v>
      </c>
      <c r="U8" s="55">
        <f t="shared" si="1"/>
        <v>0</v>
      </c>
      <c r="V8" s="55">
        <f t="shared" si="1"/>
        <v>0</v>
      </c>
      <c r="W8" s="55">
        <f t="shared" si="1"/>
        <v>0</v>
      </c>
      <c r="X8" s="55">
        <f t="shared" si="1"/>
        <v>0</v>
      </c>
      <c r="Y8" s="55">
        <f t="shared" si="1"/>
        <v>0</v>
      </c>
      <c r="Z8" s="55">
        <f t="shared" si="1"/>
        <v>0</v>
      </c>
      <c r="AA8" s="55">
        <f t="shared" si="1"/>
        <v>0</v>
      </c>
      <c r="AB8" s="55">
        <f t="shared" si="1"/>
        <v>0</v>
      </c>
      <c r="AC8" s="55">
        <f t="shared" si="1"/>
        <v>0</v>
      </c>
      <c r="AD8" s="55">
        <f t="shared" si="1"/>
        <v>0</v>
      </c>
      <c r="AE8" s="55">
        <f t="shared" si="1"/>
        <v>0</v>
      </c>
      <c r="AF8" s="55">
        <f t="shared" si="1"/>
        <v>0</v>
      </c>
      <c r="AG8" s="55">
        <f t="shared" si="1"/>
        <v>0</v>
      </c>
    </row>
    <row r="9" spans="1:33" s="142" customFormat="1" ht="27.75" hidden="1" customHeight="1" x14ac:dyDescent="0.25">
      <c r="A9" s="7" t="s">
        <v>17</v>
      </c>
      <c r="B9" s="56"/>
      <c r="C9" s="141"/>
      <c r="D9" s="141"/>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row>
    <row r="10" spans="1:33" s="142" customFormat="1" ht="27.75" hidden="1" customHeight="1" x14ac:dyDescent="0.25">
      <c r="A10" s="7" t="s">
        <v>234</v>
      </c>
      <c r="B10" s="56"/>
      <c r="C10" s="141"/>
      <c r="D10" s="141"/>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row>
    <row r="11" spans="1:33" s="142" customFormat="1" ht="27.75" hidden="1" customHeight="1" x14ac:dyDescent="0.25">
      <c r="A11" s="7" t="s">
        <v>18</v>
      </c>
      <c r="B11" s="56"/>
      <c r="C11" s="141"/>
      <c r="D11" s="141"/>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row>
    <row r="12" spans="1:33" s="140" customFormat="1" ht="36" customHeight="1" x14ac:dyDescent="0.25">
      <c r="A12" s="5" t="s">
        <v>25</v>
      </c>
      <c r="B12" s="55">
        <f>B13</f>
        <v>1002</v>
      </c>
      <c r="C12" s="55">
        <f t="shared" ref="C12:AG12" si="2">C13</f>
        <v>1</v>
      </c>
      <c r="D12" s="55">
        <f t="shared" si="2"/>
        <v>1</v>
      </c>
      <c r="E12" s="55">
        <f t="shared" si="2"/>
        <v>0</v>
      </c>
      <c r="F12" s="55">
        <f t="shared" si="2"/>
        <v>0</v>
      </c>
      <c r="G12" s="55">
        <f t="shared" si="2"/>
        <v>0</v>
      </c>
      <c r="H12" s="55">
        <f t="shared" si="2"/>
        <v>0</v>
      </c>
      <c r="I12" s="55">
        <f t="shared" si="2"/>
        <v>0</v>
      </c>
      <c r="J12" s="55">
        <f t="shared" si="2"/>
        <v>0</v>
      </c>
      <c r="K12" s="55">
        <f t="shared" si="2"/>
        <v>84</v>
      </c>
      <c r="L12" s="55">
        <f t="shared" si="2"/>
        <v>3</v>
      </c>
      <c r="M12" s="55">
        <f t="shared" si="2"/>
        <v>28</v>
      </c>
      <c r="N12" s="55">
        <f t="shared" si="2"/>
        <v>0</v>
      </c>
      <c r="O12" s="55">
        <f t="shared" si="2"/>
        <v>1</v>
      </c>
      <c r="P12" s="55">
        <f t="shared" si="2"/>
        <v>0</v>
      </c>
      <c r="Q12" s="55">
        <f t="shared" si="2"/>
        <v>692</v>
      </c>
      <c r="R12" s="55">
        <f t="shared" si="2"/>
        <v>0</v>
      </c>
      <c r="S12" s="55">
        <f t="shared" si="2"/>
        <v>17</v>
      </c>
      <c r="T12" s="55">
        <f t="shared" si="2"/>
        <v>24</v>
      </c>
      <c r="U12" s="55">
        <f t="shared" si="2"/>
        <v>0</v>
      </c>
      <c r="V12" s="55">
        <f t="shared" si="2"/>
        <v>0</v>
      </c>
      <c r="W12" s="55">
        <f t="shared" si="2"/>
        <v>0</v>
      </c>
      <c r="X12" s="55">
        <f t="shared" si="2"/>
        <v>0</v>
      </c>
      <c r="Y12" s="55">
        <f t="shared" si="2"/>
        <v>84</v>
      </c>
      <c r="Z12" s="55">
        <v>1</v>
      </c>
      <c r="AA12" s="55">
        <f t="shared" si="2"/>
        <v>1</v>
      </c>
      <c r="AB12" s="55">
        <f t="shared" si="2"/>
        <v>36</v>
      </c>
      <c r="AC12" s="55">
        <f t="shared" si="2"/>
        <v>0</v>
      </c>
      <c r="AD12" s="55">
        <f t="shared" si="2"/>
        <v>2</v>
      </c>
      <c r="AE12" s="55">
        <f t="shared" si="2"/>
        <v>1</v>
      </c>
      <c r="AF12" s="55">
        <f>AF13</f>
        <v>78</v>
      </c>
      <c r="AG12" s="55">
        <f t="shared" si="2"/>
        <v>10</v>
      </c>
    </row>
    <row r="13" spans="1:33" s="162" customFormat="1" ht="28.5" customHeight="1" x14ac:dyDescent="0.25">
      <c r="A13" s="160" t="s">
        <v>23</v>
      </c>
      <c r="B13" s="161">
        <v>1002</v>
      </c>
      <c r="C13" s="161">
        <v>1</v>
      </c>
      <c r="D13" s="161">
        <v>1</v>
      </c>
      <c r="E13" s="161"/>
      <c r="F13" s="161"/>
      <c r="G13" s="161"/>
      <c r="H13" s="161"/>
      <c r="I13" s="161"/>
      <c r="J13" s="161"/>
      <c r="K13" s="161">
        <v>84</v>
      </c>
      <c r="L13" s="161">
        <v>3</v>
      </c>
      <c r="M13" s="161">
        <v>28</v>
      </c>
      <c r="N13" s="161"/>
      <c r="O13" s="161">
        <v>1</v>
      </c>
      <c r="P13" s="161"/>
      <c r="Q13" s="161">
        <v>692</v>
      </c>
      <c r="R13" s="161"/>
      <c r="S13" s="161">
        <v>17</v>
      </c>
      <c r="T13" s="161">
        <v>24</v>
      </c>
      <c r="U13" s="161"/>
      <c r="V13" s="161"/>
      <c r="W13" s="161"/>
      <c r="X13" s="161"/>
      <c r="Y13" s="161">
        <v>84</v>
      </c>
      <c r="Z13" s="161">
        <v>1</v>
      </c>
      <c r="AA13" s="161">
        <v>1</v>
      </c>
      <c r="AB13" s="161">
        <v>36</v>
      </c>
      <c r="AC13" s="161"/>
      <c r="AD13" s="161">
        <v>2</v>
      </c>
      <c r="AE13" s="161">
        <v>1</v>
      </c>
      <c r="AF13" s="161">
        <v>78</v>
      </c>
      <c r="AG13" s="161">
        <v>10</v>
      </c>
    </row>
    <row r="14" spans="1:33" s="140" customFormat="1" ht="28.5" customHeight="1" x14ac:dyDescent="0.25">
      <c r="A14" s="5" t="s">
        <v>26</v>
      </c>
      <c r="B14" s="55">
        <f>B15</f>
        <v>99</v>
      </c>
      <c r="C14" s="55">
        <f t="shared" ref="C14:AG14" si="3">C15</f>
        <v>0</v>
      </c>
      <c r="D14" s="55">
        <f>D15</f>
        <v>0</v>
      </c>
      <c r="E14" s="55">
        <f t="shared" si="3"/>
        <v>0</v>
      </c>
      <c r="F14" s="55">
        <f t="shared" si="3"/>
        <v>0</v>
      </c>
      <c r="G14" s="55">
        <f t="shared" si="3"/>
        <v>0</v>
      </c>
      <c r="H14" s="55">
        <f t="shared" si="3"/>
        <v>0</v>
      </c>
      <c r="I14" s="55">
        <f t="shared" si="3"/>
        <v>0</v>
      </c>
      <c r="J14" s="55">
        <f t="shared" si="3"/>
        <v>0</v>
      </c>
      <c r="K14" s="55">
        <f t="shared" si="3"/>
        <v>0</v>
      </c>
      <c r="L14" s="55">
        <f t="shared" si="3"/>
        <v>0</v>
      </c>
      <c r="M14" s="55">
        <f t="shared" si="3"/>
        <v>0</v>
      </c>
      <c r="N14" s="55">
        <f t="shared" si="3"/>
        <v>0</v>
      </c>
      <c r="O14" s="55">
        <f t="shared" si="3"/>
        <v>0</v>
      </c>
      <c r="P14" s="55">
        <f t="shared" si="3"/>
        <v>0</v>
      </c>
      <c r="Q14" s="55">
        <f t="shared" si="3"/>
        <v>99</v>
      </c>
      <c r="R14" s="55">
        <f t="shared" si="3"/>
        <v>0</v>
      </c>
      <c r="S14" s="55">
        <f t="shared" si="3"/>
        <v>0</v>
      </c>
      <c r="T14" s="55">
        <f t="shared" si="3"/>
        <v>11</v>
      </c>
      <c r="U14" s="55">
        <f t="shared" si="3"/>
        <v>0</v>
      </c>
      <c r="V14" s="55">
        <f t="shared" si="3"/>
        <v>0</v>
      </c>
      <c r="W14" s="55">
        <f t="shared" si="3"/>
        <v>0</v>
      </c>
      <c r="X14" s="55">
        <f t="shared" si="3"/>
        <v>0</v>
      </c>
      <c r="Y14" s="55">
        <f t="shared" si="3"/>
        <v>0</v>
      </c>
      <c r="Z14" s="55">
        <f t="shared" si="3"/>
        <v>0</v>
      </c>
      <c r="AA14" s="55">
        <f t="shared" si="3"/>
        <v>0</v>
      </c>
      <c r="AB14" s="55">
        <f t="shared" si="3"/>
        <v>0</v>
      </c>
      <c r="AC14" s="55">
        <f t="shared" si="3"/>
        <v>0</v>
      </c>
      <c r="AD14" s="55">
        <f t="shared" si="3"/>
        <v>0</v>
      </c>
      <c r="AE14" s="55">
        <f t="shared" si="3"/>
        <v>0</v>
      </c>
      <c r="AF14" s="55">
        <f t="shared" si="3"/>
        <v>0</v>
      </c>
      <c r="AG14" s="55">
        <f t="shared" si="3"/>
        <v>0</v>
      </c>
    </row>
    <row r="15" spans="1:33" s="140" customFormat="1" ht="28.5" customHeight="1" x14ac:dyDescent="0.25">
      <c r="A15" s="7" t="s">
        <v>24</v>
      </c>
      <c r="B15" s="56">
        <v>99</v>
      </c>
      <c r="C15" s="56"/>
      <c r="D15" s="56"/>
      <c r="E15" s="56"/>
      <c r="F15" s="56"/>
      <c r="G15" s="56"/>
      <c r="H15" s="56"/>
      <c r="I15" s="56"/>
      <c r="J15" s="56"/>
      <c r="K15" s="56"/>
      <c r="L15" s="56"/>
      <c r="M15" s="56"/>
      <c r="N15" s="56"/>
      <c r="O15" s="56"/>
      <c r="P15" s="56"/>
      <c r="Q15" s="56">
        <v>99</v>
      </c>
      <c r="R15" s="56"/>
      <c r="S15" s="56"/>
      <c r="T15" s="56">
        <v>11</v>
      </c>
      <c r="U15" s="56"/>
      <c r="V15" s="56"/>
      <c r="W15" s="56"/>
      <c r="X15" s="56"/>
      <c r="Y15" s="56"/>
      <c r="Z15" s="56"/>
      <c r="AA15" s="56"/>
      <c r="AB15" s="56"/>
      <c r="AC15" s="56"/>
      <c r="AD15" s="56"/>
      <c r="AE15" s="56"/>
      <c r="AF15" s="56">
        <f>AG15*9</f>
        <v>0</v>
      </c>
      <c r="AG15" s="56"/>
    </row>
    <row r="16" spans="1:33" outlineLevel="1" x14ac:dyDescent="0.25"/>
    <row r="17" spans="1:33" s="151" customFormat="1" ht="14.25" outlineLevel="1" x14ac:dyDescent="0.2">
      <c r="A17" s="147" t="s">
        <v>315</v>
      </c>
      <c r="B17" s="148">
        <f>B18+B19</f>
        <v>154</v>
      </c>
      <c r="C17" s="149"/>
      <c r="D17" s="149"/>
      <c r="E17" s="150"/>
      <c r="F17" s="150"/>
      <c r="G17" s="150"/>
      <c r="H17" s="150"/>
      <c r="I17" s="150"/>
      <c r="J17" s="150"/>
      <c r="K17" s="150">
        <v>12</v>
      </c>
      <c r="L17" s="150">
        <v>3</v>
      </c>
      <c r="M17" s="150">
        <v>4</v>
      </c>
      <c r="N17" s="150">
        <f>N7*12</f>
        <v>0</v>
      </c>
      <c r="O17" s="150">
        <v>1</v>
      </c>
      <c r="P17" s="150">
        <f>P7</f>
        <v>0</v>
      </c>
      <c r="Q17" s="150">
        <f>S17+T17</f>
        <v>103</v>
      </c>
      <c r="R17" s="150">
        <f>R7*16</f>
        <v>0</v>
      </c>
      <c r="S17" s="150">
        <v>17</v>
      </c>
      <c r="T17" s="150">
        <f>T18+T19</f>
        <v>86</v>
      </c>
      <c r="U17" s="150">
        <f>U7</f>
        <v>0</v>
      </c>
      <c r="V17" s="150"/>
      <c r="W17" s="150">
        <f>W7*4</f>
        <v>0</v>
      </c>
      <c r="X17" s="150">
        <f>X7</f>
        <v>0</v>
      </c>
      <c r="Y17" s="150">
        <v>17</v>
      </c>
      <c r="Z17" s="150">
        <v>1</v>
      </c>
      <c r="AA17" s="150">
        <v>1</v>
      </c>
      <c r="AB17" s="150">
        <v>8</v>
      </c>
      <c r="AC17" s="150">
        <f>AC7*10</f>
        <v>0</v>
      </c>
      <c r="AD17" s="150">
        <v>2</v>
      </c>
      <c r="AE17" s="150">
        <f>AE7</f>
        <v>1</v>
      </c>
      <c r="AF17" s="150">
        <v>10</v>
      </c>
      <c r="AG17" s="150">
        <f>AG7</f>
        <v>10</v>
      </c>
    </row>
    <row r="18" spans="1:33" outlineLevel="1" x14ac:dyDescent="0.25">
      <c r="A18" s="152" t="s">
        <v>310</v>
      </c>
      <c r="B18" s="153">
        <f>K18+M18+Q18+Y18+AB18+AF18</f>
        <v>143</v>
      </c>
      <c r="C18" s="154"/>
      <c r="D18" s="154"/>
      <c r="E18" s="101"/>
      <c r="F18" s="101"/>
      <c r="G18" s="101"/>
      <c r="H18" s="101"/>
      <c r="I18" s="101"/>
      <c r="J18" s="101"/>
      <c r="K18" s="101">
        <v>12</v>
      </c>
      <c r="L18" s="101">
        <v>3</v>
      </c>
      <c r="M18" s="101">
        <v>4</v>
      </c>
      <c r="N18" s="101">
        <f t="shared" ref="N18:AG18" si="4">N17-N19</f>
        <v>0</v>
      </c>
      <c r="O18" s="101">
        <v>1</v>
      </c>
      <c r="P18" s="101">
        <f t="shared" si="4"/>
        <v>0</v>
      </c>
      <c r="Q18" s="101">
        <f>S18+T18</f>
        <v>92</v>
      </c>
      <c r="R18" s="101">
        <f t="shared" si="4"/>
        <v>0</v>
      </c>
      <c r="S18" s="101">
        <v>17</v>
      </c>
      <c r="T18" s="101">
        <v>75</v>
      </c>
      <c r="U18" s="101">
        <f t="shared" si="4"/>
        <v>0</v>
      </c>
      <c r="V18" s="101">
        <f t="shared" si="4"/>
        <v>0</v>
      </c>
      <c r="W18" s="101">
        <f t="shared" si="4"/>
        <v>0</v>
      </c>
      <c r="X18" s="101">
        <f t="shared" si="4"/>
        <v>0</v>
      </c>
      <c r="Y18" s="101">
        <v>17</v>
      </c>
      <c r="Z18" s="101">
        <v>1</v>
      </c>
      <c r="AA18" s="101">
        <v>1</v>
      </c>
      <c r="AB18" s="101">
        <v>8</v>
      </c>
      <c r="AC18" s="101">
        <f t="shared" si="4"/>
        <v>0</v>
      </c>
      <c r="AD18" s="101">
        <f t="shared" si="4"/>
        <v>2</v>
      </c>
      <c r="AE18" s="101">
        <f t="shared" si="4"/>
        <v>1</v>
      </c>
      <c r="AF18" s="101">
        <v>10</v>
      </c>
      <c r="AG18" s="101">
        <f t="shared" si="4"/>
        <v>10</v>
      </c>
    </row>
    <row r="19" spans="1:33" outlineLevel="1" x14ac:dyDescent="0.25">
      <c r="A19" s="152" t="s">
        <v>311</v>
      </c>
      <c r="B19" s="153">
        <f>Q19</f>
        <v>11</v>
      </c>
      <c r="C19" s="154"/>
      <c r="D19" s="154"/>
      <c r="E19" s="101"/>
      <c r="F19" s="101"/>
      <c r="G19" s="101"/>
      <c r="H19" s="101"/>
      <c r="I19" s="101"/>
      <c r="J19" s="101"/>
      <c r="K19" s="101"/>
      <c r="L19" s="101">
        <f>L14*4</f>
        <v>0</v>
      </c>
      <c r="M19" s="101"/>
      <c r="N19" s="101"/>
      <c r="O19" s="101"/>
      <c r="P19" s="101"/>
      <c r="Q19" s="101">
        <v>11</v>
      </c>
      <c r="R19" s="101">
        <f>R14*16</f>
        <v>0</v>
      </c>
      <c r="S19" s="101">
        <f>S14*4</f>
        <v>0</v>
      </c>
      <c r="T19" s="101">
        <f>T14</f>
        <v>11</v>
      </c>
      <c r="U19" s="101"/>
      <c r="V19" s="101"/>
      <c r="W19" s="101">
        <f>W14*4</f>
        <v>0</v>
      </c>
      <c r="X19" s="101"/>
      <c r="Y19" s="101"/>
      <c r="Z19" s="101"/>
      <c r="AA19" s="101"/>
      <c r="AB19" s="101"/>
      <c r="AC19" s="101"/>
      <c r="AD19" s="101"/>
      <c r="AE19" s="101"/>
      <c r="AF19" s="101"/>
      <c r="AG19" s="101"/>
    </row>
    <row r="20" spans="1:33" s="151" customFormat="1" ht="14.25" outlineLevel="1" x14ac:dyDescent="0.2">
      <c r="A20" s="147" t="s">
        <v>312</v>
      </c>
      <c r="B20" s="148">
        <f>B21+B22</f>
        <v>947</v>
      </c>
      <c r="C20" s="149"/>
      <c r="D20" s="149"/>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row>
    <row r="21" spans="1:33" outlineLevel="1" x14ac:dyDescent="0.25">
      <c r="A21" s="152" t="s">
        <v>313</v>
      </c>
      <c r="B21" s="153">
        <f>K21+M21+Q21+Y21+AB21+AF21</f>
        <v>859</v>
      </c>
      <c r="C21" s="154"/>
      <c r="D21" s="154"/>
      <c r="E21" s="101"/>
      <c r="F21" s="101"/>
      <c r="G21" s="101"/>
      <c r="H21" s="101"/>
      <c r="I21" s="101"/>
      <c r="J21" s="101"/>
      <c r="K21" s="101">
        <v>72</v>
      </c>
      <c r="L21" s="101"/>
      <c r="M21" s="101">
        <v>24</v>
      </c>
      <c r="N21" s="101"/>
      <c r="O21" s="101"/>
      <c r="P21" s="101"/>
      <c r="Q21" s="101">
        <v>600</v>
      </c>
      <c r="R21" s="101"/>
      <c r="S21" s="101"/>
      <c r="T21" s="101"/>
      <c r="U21" s="101"/>
      <c r="V21" s="101"/>
      <c r="W21" s="101"/>
      <c r="X21" s="101"/>
      <c r="Y21" s="101">
        <v>67</v>
      </c>
      <c r="Z21" s="101"/>
      <c r="AA21" s="101"/>
      <c r="AB21" s="101">
        <v>28</v>
      </c>
      <c r="AC21" s="101"/>
      <c r="AD21" s="101"/>
      <c r="AE21" s="101"/>
      <c r="AF21" s="101">
        <v>68</v>
      </c>
      <c r="AG21" s="101"/>
    </row>
    <row r="22" spans="1:33" outlineLevel="1" x14ac:dyDescent="0.25">
      <c r="A22" s="152" t="s">
        <v>314</v>
      </c>
      <c r="B22" s="153">
        <f>B14-B19-C14</f>
        <v>88</v>
      </c>
      <c r="C22" s="154"/>
      <c r="D22" s="154"/>
      <c r="E22" s="101"/>
      <c r="F22" s="101"/>
      <c r="G22" s="101"/>
      <c r="H22" s="101"/>
      <c r="I22" s="101"/>
      <c r="J22" s="101"/>
      <c r="K22" s="101"/>
      <c r="L22" s="101"/>
      <c r="M22" s="101"/>
      <c r="N22" s="101"/>
      <c r="O22" s="101"/>
      <c r="P22" s="101"/>
      <c r="Q22" s="101">
        <v>88</v>
      </c>
      <c r="R22" s="101"/>
      <c r="S22" s="101"/>
      <c r="T22" s="101"/>
      <c r="U22" s="101"/>
      <c r="V22" s="101"/>
      <c r="W22" s="101"/>
      <c r="X22" s="101"/>
      <c r="Y22" s="101"/>
      <c r="Z22" s="101"/>
      <c r="AA22" s="101"/>
      <c r="AB22" s="101"/>
      <c r="AC22" s="101"/>
      <c r="AD22" s="101"/>
      <c r="AE22" s="101"/>
      <c r="AF22" s="101"/>
      <c r="AG22" s="101"/>
    </row>
    <row r="23" spans="1:33" s="151" customFormat="1" ht="14.25" outlineLevel="1" x14ac:dyDescent="0.2">
      <c r="A23" s="147" t="s">
        <v>316</v>
      </c>
      <c r="B23" s="148">
        <f>B18+B21</f>
        <v>1002</v>
      </c>
      <c r="C23" s="149"/>
      <c r="D23" s="149"/>
      <c r="E23" s="150"/>
      <c r="F23" s="150"/>
      <c r="G23" s="150"/>
      <c r="H23" s="150"/>
      <c r="I23" s="150"/>
      <c r="J23" s="150"/>
      <c r="K23" s="150">
        <v>84</v>
      </c>
      <c r="L23" s="150"/>
      <c r="M23" s="150"/>
      <c r="N23" s="150"/>
      <c r="O23" s="150"/>
      <c r="P23" s="150"/>
      <c r="Q23" s="150">
        <v>692</v>
      </c>
      <c r="R23" s="150"/>
      <c r="S23" s="150"/>
      <c r="T23" s="150"/>
      <c r="U23" s="150"/>
      <c r="V23" s="150"/>
      <c r="W23" s="150"/>
      <c r="X23" s="150"/>
      <c r="Y23" s="150">
        <v>84</v>
      </c>
      <c r="Z23" s="150"/>
      <c r="AA23" s="150"/>
      <c r="AB23" s="150">
        <v>36</v>
      </c>
      <c r="AC23" s="150"/>
      <c r="AD23" s="150"/>
      <c r="AE23" s="150"/>
      <c r="AF23" s="150">
        <v>78</v>
      </c>
      <c r="AG23" s="150"/>
    </row>
    <row r="24" spans="1:33" s="151" customFormat="1" ht="14.25" outlineLevel="1" x14ac:dyDescent="0.2">
      <c r="A24" s="147" t="s">
        <v>317</v>
      </c>
      <c r="B24" s="148">
        <f>B19+B22</f>
        <v>99</v>
      </c>
      <c r="C24" s="149"/>
      <c r="D24" s="149"/>
      <c r="E24" s="150"/>
      <c r="F24" s="150"/>
      <c r="G24" s="150"/>
      <c r="H24" s="150"/>
      <c r="I24" s="150"/>
      <c r="J24" s="150"/>
      <c r="K24" s="150"/>
      <c r="L24" s="150"/>
      <c r="M24" s="150"/>
      <c r="N24" s="150"/>
      <c r="O24" s="150"/>
      <c r="P24" s="150"/>
      <c r="Q24" s="150">
        <v>99</v>
      </c>
      <c r="R24" s="150"/>
      <c r="S24" s="150"/>
      <c r="T24" s="150"/>
      <c r="U24" s="150"/>
      <c r="V24" s="150"/>
      <c r="W24" s="150"/>
      <c r="X24" s="150"/>
      <c r="Y24" s="150"/>
      <c r="Z24" s="150"/>
      <c r="AA24" s="150"/>
      <c r="AB24" s="150"/>
      <c r="AC24" s="150"/>
      <c r="AD24" s="150"/>
      <c r="AE24" s="150"/>
      <c r="AF24" s="150"/>
      <c r="AG24" s="150"/>
    </row>
    <row r="26" spans="1:33" outlineLevel="1" x14ac:dyDescent="0.25">
      <c r="A26" s="155" t="s">
        <v>340</v>
      </c>
    </row>
    <row r="27" spans="1:33" outlineLevel="1" x14ac:dyDescent="0.25">
      <c r="A27" s="155" t="s">
        <v>318</v>
      </c>
    </row>
    <row r="28" spans="1:33" outlineLevel="1" x14ac:dyDescent="0.25">
      <c r="A28" s="155" t="s">
        <v>324</v>
      </c>
    </row>
    <row r="29" spans="1:33" outlineLevel="1" x14ac:dyDescent="0.25">
      <c r="A29" s="155" t="s">
        <v>341</v>
      </c>
    </row>
    <row r="30" spans="1:33" outlineLevel="1" x14ac:dyDescent="0.25">
      <c r="A30" s="155" t="s">
        <v>325</v>
      </c>
    </row>
    <row r="31" spans="1:33" outlineLevel="1" x14ac:dyDescent="0.25">
      <c r="A31" s="155" t="s">
        <v>342</v>
      </c>
    </row>
    <row r="32" spans="1:33" outlineLevel="1" x14ac:dyDescent="0.25">
      <c r="A32" s="155" t="s">
        <v>343</v>
      </c>
    </row>
    <row r="33" spans="1:1" outlineLevel="1" x14ac:dyDescent="0.25">
      <c r="A33" s="155" t="s">
        <v>326</v>
      </c>
    </row>
    <row r="34" spans="1:1" x14ac:dyDescent="0.25">
      <c r="A34" s="155"/>
    </row>
  </sheetData>
  <mergeCells count="16">
    <mergeCell ref="A1:AG1"/>
    <mergeCell ref="A2:AG2"/>
    <mergeCell ref="B4:B6"/>
    <mergeCell ref="Q5:U5"/>
    <mergeCell ref="AB5:AE5"/>
    <mergeCell ref="AF5:AG5"/>
    <mergeCell ref="K4:AG4"/>
    <mergeCell ref="V5:X5"/>
    <mergeCell ref="C4:D5"/>
    <mergeCell ref="E4:J4"/>
    <mergeCell ref="F5:J5"/>
    <mergeCell ref="E5:E6"/>
    <mergeCell ref="A4:A6"/>
    <mergeCell ref="K5:L5"/>
    <mergeCell ref="Y5:AA5"/>
    <mergeCell ref="M5:P5"/>
  </mergeCells>
  <phoneticPr fontId="16" type="noConversion"/>
  <conditionalFormatting sqref="A4:K4 A5:V5 Y5:AG5">
    <cfRule type="cellIs" dxfId="3" priority="176" operator="equal">
      <formula>0</formula>
    </cfRule>
  </conditionalFormatting>
  <conditionalFormatting sqref="A6:AG15">
    <cfRule type="cellIs" dxfId="2" priority="1" operator="equal">
      <formula>0</formula>
    </cfRule>
  </conditionalFormatting>
  <pageMargins left="0.55000000000000004" right="0.15748031496062992" top="0.51181102362204722" bottom="0.51181102362204722" header="0.31496062992125984" footer="0.31496062992125984"/>
  <pageSetup paperSize="9" scale="7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26"/>
  <sheetViews>
    <sheetView workbookViewId="0">
      <pane xSplit="3" ySplit="8" topLeftCell="D9" activePane="bottomRight" state="frozen"/>
      <selection pane="topRight" activeCell="D1" sqref="D1"/>
      <selection pane="bottomLeft" activeCell="A9" sqref="A9"/>
      <selection pane="bottomRight" activeCell="F7" sqref="F7"/>
    </sheetView>
  </sheetViews>
  <sheetFormatPr defaultColWidth="30.28515625" defaultRowHeight="18.75" outlineLevelRow="1" x14ac:dyDescent="0.25"/>
  <cols>
    <col min="1" max="1" width="6.140625" style="9" bestFit="1" customWidth="1"/>
    <col min="2" max="2" width="29.28515625" style="9" customWidth="1"/>
    <col min="3" max="3" width="6.140625" style="9" bestFit="1" customWidth="1"/>
    <col min="4" max="4" width="9.28515625" style="72" bestFit="1" customWidth="1"/>
    <col min="5" max="5" width="9.28515625" style="72" customWidth="1"/>
    <col min="6" max="6" width="17.85546875" style="72" customWidth="1"/>
    <col min="7" max="7" width="8.28515625" style="72" customWidth="1"/>
    <col min="8" max="8" width="17.28515625" style="72" customWidth="1"/>
    <col min="9" max="9" width="10.7109375" style="72" customWidth="1"/>
    <col min="10" max="10" width="17" style="72" customWidth="1"/>
    <col min="11" max="11" width="9.140625" style="72" customWidth="1"/>
    <col min="12" max="12" width="17.28515625" style="72" customWidth="1"/>
    <col min="13" max="13" width="9.140625" style="72" customWidth="1"/>
    <col min="14" max="14" width="16.85546875" style="72" customWidth="1"/>
    <col min="15" max="15" width="19.5703125" style="72" customWidth="1"/>
    <col min="16" max="23" width="30.28515625" style="9"/>
    <col min="24" max="137" width="8.5703125" style="9" customWidth="1"/>
    <col min="138" max="16384" width="30.28515625" style="9"/>
  </cols>
  <sheetData>
    <row r="1" spans="1:24" s="157" customFormat="1" x14ac:dyDescent="0.3">
      <c r="A1" s="186" t="s">
        <v>273</v>
      </c>
      <c r="B1" s="186"/>
      <c r="C1" s="186"/>
      <c r="D1" s="186"/>
      <c r="E1" s="186"/>
      <c r="F1" s="186"/>
      <c r="G1" s="186"/>
      <c r="H1" s="186"/>
      <c r="I1" s="186"/>
      <c r="J1" s="186"/>
      <c r="K1" s="186"/>
      <c r="L1" s="186"/>
      <c r="M1" s="186"/>
      <c r="N1" s="186"/>
      <c r="O1" s="186"/>
      <c r="P1" s="156"/>
      <c r="Q1" s="156"/>
      <c r="R1" s="156"/>
      <c r="S1" s="156"/>
      <c r="T1" s="156"/>
      <c r="U1" s="156"/>
      <c r="V1" s="156"/>
      <c r="W1" s="156"/>
      <c r="X1" s="156"/>
    </row>
    <row r="2" spans="1:24" s="157" customFormat="1" ht="63" customHeight="1" x14ac:dyDescent="0.3">
      <c r="A2" s="187" t="s">
        <v>358</v>
      </c>
      <c r="B2" s="186"/>
      <c r="C2" s="186"/>
      <c r="D2" s="186"/>
      <c r="E2" s="186"/>
      <c r="F2" s="186"/>
      <c r="G2" s="186"/>
      <c r="H2" s="186"/>
      <c r="I2" s="186"/>
      <c r="J2" s="186"/>
      <c r="K2" s="186"/>
      <c r="L2" s="186"/>
      <c r="M2" s="186"/>
      <c r="N2" s="186"/>
      <c r="O2" s="186"/>
      <c r="P2" s="156"/>
      <c r="Q2" s="156"/>
      <c r="R2" s="156"/>
      <c r="S2" s="156"/>
      <c r="T2" s="156"/>
      <c r="U2" s="156"/>
      <c r="V2" s="156"/>
      <c r="W2" s="156"/>
      <c r="X2" s="156"/>
    </row>
    <row r="3" spans="1:24" s="159" customFormat="1" ht="10.5" customHeight="1" x14ac:dyDescent="0.3">
      <c r="A3" s="188"/>
      <c r="B3" s="188"/>
      <c r="C3" s="188"/>
      <c r="D3" s="188"/>
      <c r="E3" s="188"/>
      <c r="F3" s="188"/>
      <c r="G3" s="188"/>
      <c r="H3" s="188"/>
      <c r="I3" s="188"/>
      <c r="J3" s="188"/>
      <c r="K3" s="188"/>
      <c r="L3" s="188"/>
      <c r="M3" s="188"/>
      <c r="N3" s="188"/>
      <c r="O3" s="188"/>
      <c r="P3" s="158"/>
      <c r="Q3" s="158"/>
      <c r="R3" s="158"/>
      <c r="S3" s="158"/>
      <c r="T3" s="158"/>
      <c r="U3" s="158"/>
      <c r="V3" s="158"/>
      <c r="W3" s="158"/>
      <c r="X3" s="158"/>
    </row>
    <row r="4" spans="1:24" ht="9" customHeight="1" x14ac:dyDescent="0.25">
      <c r="E4" s="73"/>
    </row>
    <row r="5" spans="1:24" s="10" customFormat="1" ht="18.75" customHeight="1" x14ac:dyDescent="0.25">
      <c r="A5" s="178" t="s">
        <v>28</v>
      </c>
      <c r="B5" s="178" t="s">
        <v>29</v>
      </c>
      <c r="C5" s="178" t="s">
        <v>30</v>
      </c>
      <c r="D5" s="189" t="s">
        <v>31</v>
      </c>
      <c r="E5" s="178" t="s">
        <v>235</v>
      </c>
      <c r="F5" s="178"/>
      <c r="G5" s="178" t="s">
        <v>236</v>
      </c>
      <c r="H5" s="178"/>
      <c r="I5" s="178" t="s">
        <v>237</v>
      </c>
      <c r="J5" s="178"/>
      <c r="K5" s="178" t="s">
        <v>238</v>
      </c>
      <c r="L5" s="178"/>
      <c r="M5" s="178" t="s">
        <v>239</v>
      </c>
      <c r="N5" s="178"/>
      <c r="O5" s="189" t="s">
        <v>34</v>
      </c>
    </row>
    <row r="6" spans="1:24" s="10" customFormat="1" ht="37.5" x14ac:dyDescent="0.25">
      <c r="A6" s="178"/>
      <c r="B6" s="178"/>
      <c r="C6" s="178"/>
      <c r="D6" s="189"/>
      <c r="E6" s="11" t="s">
        <v>32</v>
      </c>
      <c r="F6" s="12" t="s">
        <v>33</v>
      </c>
      <c r="G6" s="11" t="s">
        <v>32</v>
      </c>
      <c r="H6" s="12" t="s">
        <v>33</v>
      </c>
      <c r="I6" s="11" t="s">
        <v>32</v>
      </c>
      <c r="J6" s="12" t="s">
        <v>33</v>
      </c>
      <c r="K6" s="11" t="s">
        <v>32</v>
      </c>
      <c r="L6" s="12" t="s">
        <v>33</v>
      </c>
      <c r="M6" s="11" t="s">
        <v>32</v>
      </c>
      <c r="N6" s="12" t="s">
        <v>33</v>
      </c>
      <c r="O6" s="178"/>
    </row>
    <row r="7" spans="1:24" ht="29.25" customHeight="1" x14ac:dyDescent="0.25">
      <c r="A7" s="11" t="s">
        <v>117</v>
      </c>
      <c r="B7" s="11" t="s">
        <v>193</v>
      </c>
      <c r="C7" s="11"/>
      <c r="D7" s="74"/>
      <c r="E7" s="75">
        <f>E115+E106+E97+E89+E51+E26+E18+E8</f>
        <v>1507</v>
      </c>
      <c r="F7" s="75">
        <f>SUBTOTAL(9,F8:F123)</f>
        <v>2568639000</v>
      </c>
      <c r="G7" s="75">
        <f>G115+G106+G97+G89+G51+G26+G18+G8</f>
        <v>392</v>
      </c>
      <c r="H7" s="75">
        <f>SUBTOTAL(9,H8:H123)</f>
        <v>567814280</v>
      </c>
      <c r="I7" s="75">
        <f>I115+I106+I97+I89+I51+I26+I18+I8</f>
        <v>1282</v>
      </c>
      <c r="J7" s="75">
        <f>SUBTOTAL(9,J8:J123)</f>
        <v>1829205960</v>
      </c>
      <c r="K7" s="75">
        <f>K115+K106+K97+K89+K51+K26+K18+K8</f>
        <v>1282</v>
      </c>
      <c r="L7" s="75">
        <f>SUBTOTAL(9,L8:L123)</f>
        <v>999880980</v>
      </c>
      <c r="M7" s="75">
        <f>M115+M106+M97+M89+M51+M26+M18+M8</f>
        <v>1282</v>
      </c>
      <c r="N7" s="75">
        <f>SUBTOTAL(9,N8:N123)</f>
        <v>2102372160</v>
      </c>
      <c r="O7" s="75">
        <f>SUBTOTAL(9,O8:O123)</f>
        <v>8067912380</v>
      </c>
      <c r="P7" s="164">
        <v>313349756240</v>
      </c>
      <c r="Q7" s="165">
        <f>P7-O7</f>
        <v>305281843860</v>
      </c>
    </row>
    <row r="8" spans="1:24" s="10" customFormat="1" ht="21.75" customHeight="1" x14ac:dyDescent="0.25">
      <c r="A8" s="12" t="s">
        <v>35</v>
      </c>
      <c r="B8" s="12" t="s">
        <v>344</v>
      </c>
      <c r="C8" s="11"/>
      <c r="D8" s="74"/>
      <c r="E8" s="75">
        <f>E9</f>
        <v>0</v>
      </c>
      <c r="F8" s="75">
        <f>SUBTOTAL(9,F9:F17)</f>
        <v>0</v>
      </c>
      <c r="G8" s="75">
        <f>G9</f>
        <v>0</v>
      </c>
      <c r="H8" s="75">
        <f>SUBTOTAL(9,H9:H17)</f>
        <v>0</v>
      </c>
      <c r="I8" s="75">
        <f>I9</f>
        <v>0</v>
      </c>
      <c r="J8" s="75">
        <f>SUBTOTAL(9,J9:J17)</f>
        <v>0</v>
      </c>
      <c r="K8" s="75">
        <f>K9</f>
        <v>0</v>
      </c>
      <c r="L8" s="75">
        <f>SUBTOTAL(9,L9:L17)</f>
        <v>0</v>
      </c>
      <c r="M8" s="75">
        <f>M9</f>
        <v>0</v>
      </c>
      <c r="N8" s="75">
        <f>SUBTOTAL(9,N9:N17)</f>
        <v>0</v>
      </c>
      <c r="O8" s="75">
        <f>SUBTOTAL(9,O9:O17)</f>
        <v>0</v>
      </c>
      <c r="P8" s="163" t="e">
        <f>E7-E9-#REF!-#REF!</f>
        <v>#REF!</v>
      </c>
      <c r="Q8" s="163">
        <f>Q7-PL2B!O7</f>
        <v>304993783560</v>
      </c>
    </row>
    <row r="9" spans="1:24" s="10" customFormat="1" x14ac:dyDescent="0.25">
      <c r="A9" s="11"/>
      <c r="B9" s="11" t="s">
        <v>43</v>
      </c>
      <c r="C9" s="11"/>
      <c r="D9" s="74"/>
      <c r="E9" s="74"/>
      <c r="F9" s="75">
        <f>SUBTOTAL(9,F10:F17)</f>
        <v>0</v>
      </c>
      <c r="G9" s="74">
        <f>E9</f>
        <v>0</v>
      </c>
      <c r="H9" s="75">
        <f>SUBTOTAL(9,H10:H17)</f>
        <v>0</v>
      </c>
      <c r="I9" s="74">
        <f>G9</f>
        <v>0</v>
      </c>
      <c r="J9" s="75">
        <f>SUBTOTAL(9,J10:J17)</f>
        <v>0</v>
      </c>
      <c r="K9" s="74">
        <f>I9</f>
        <v>0</v>
      </c>
      <c r="L9" s="75">
        <f>SUBTOTAL(9,L10:L17)</f>
        <v>0</v>
      </c>
      <c r="M9" s="74">
        <f>K9</f>
        <v>0</v>
      </c>
      <c r="N9" s="75">
        <f>SUBTOTAL(9,N10:N17)</f>
        <v>0</v>
      </c>
      <c r="O9" s="75">
        <f>SUBTOTAL(9,O10:O17)</f>
        <v>0</v>
      </c>
    </row>
    <row r="10" spans="1:24" x14ac:dyDescent="0.25">
      <c r="A10" s="41"/>
      <c r="B10" s="42" t="s">
        <v>37</v>
      </c>
      <c r="C10" s="41" t="s">
        <v>60</v>
      </c>
      <c r="D10" s="76">
        <v>700000</v>
      </c>
      <c r="E10" s="77"/>
      <c r="F10" s="78">
        <f>E10*D10</f>
        <v>0</v>
      </c>
      <c r="G10" s="78"/>
      <c r="H10" s="78">
        <f>G10*(D10+D10*3%)</f>
        <v>0</v>
      </c>
      <c r="I10" s="78"/>
      <c r="J10" s="78">
        <f>I10*(D10+D10*6%)</f>
        <v>0</v>
      </c>
      <c r="K10" s="78">
        <v>0</v>
      </c>
      <c r="L10" s="78">
        <f>K10*(D10+D10*9%)</f>
        <v>0</v>
      </c>
      <c r="M10" s="78"/>
      <c r="N10" s="78">
        <f>M10*(D10+D10*12%)</f>
        <v>0</v>
      </c>
      <c r="O10" s="78">
        <f>F10+H10+J10+L10+N10</f>
        <v>0</v>
      </c>
    </row>
    <row r="11" spans="1:24" x14ac:dyDescent="0.25">
      <c r="A11" s="41"/>
      <c r="B11" s="42" t="s">
        <v>282</v>
      </c>
      <c r="C11" s="41" t="s">
        <v>61</v>
      </c>
      <c r="D11" s="76">
        <v>155000</v>
      </c>
      <c r="E11" s="77"/>
      <c r="F11" s="78">
        <f t="shared" ref="F11:F17" si="0">E11*D11</f>
        <v>0</v>
      </c>
      <c r="G11" s="78"/>
      <c r="H11" s="78">
        <f t="shared" ref="H11:H17" si="1">G11*(D11+D11*3%)</f>
        <v>0</v>
      </c>
      <c r="I11" s="78"/>
      <c r="J11" s="78">
        <f t="shared" ref="J11:J17" si="2">I11*(D11+D11*6%)</f>
        <v>0</v>
      </c>
      <c r="K11" s="78"/>
      <c r="L11" s="78">
        <f t="shared" ref="L11:L17" si="3">K11*(D11+D11*9%)</f>
        <v>0</v>
      </c>
      <c r="M11" s="78"/>
      <c r="N11" s="78">
        <f t="shared" ref="N11:N17" si="4">M11*(D11+D11*12%)</f>
        <v>0</v>
      </c>
      <c r="O11" s="78">
        <f t="shared" ref="O11:O17" si="5">F11+H11+J11+L11+N11</f>
        <v>0</v>
      </c>
    </row>
    <row r="12" spans="1:24" x14ac:dyDescent="0.25">
      <c r="A12" s="41"/>
      <c r="B12" s="42" t="s">
        <v>249</v>
      </c>
      <c r="C12" s="41" t="s">
        <v>61</v>
      </c>
      <c r="D12" s="76">
        <v>78000</v>
      </c>
      <c r="E12" s="77"/>
      <c r="F12" s="78">
        <f t="shared" si="0"/>
        <v>0</v>
      </c>
      <c r="G12" s="78"/>
      <c r="H12" s="78">
        <f t="shared" si="1"/>
        <v>0</v>
      </c>
      <c r="I12" s="78"/>
      <c r="J12" s="78">
        <f t="shared" si="2"/>
        <v>0</v>
      </c>
      <c r="K12" s="78"/>
      <c r="L12" s="78">
        <f t="shared" si="3"/>
        <v>0</v>
      </c>
      <c r="M12" s="78"/>
      <c r="N12" s="78">
        <f t="shared" si="4"/>
        <v>0</v>
      </c>
      <c r="O12" s="78">
        <f t="shared" si="5"/>
        <v>0</v>
      </c>
    </row>
    <row r="13" spans="1:24" x14ac:dyDescent="0.25">
      <c r="A13" s="41"/>
      <c r="B13" s="42" t="s">
        <v>38</v>
      </c>
      <c r="C13" s="41" t="s">
        <v>62</v>
      </c>
      <c r="D13" s="76">
        <v>490000</v>
      </c>
      <c r="E13" s="77"/>
      <c r="F13" s="78">
        <f t="shared" si="0"/>
        <v>0</v>
      </c>
      <c r="G13" s="78"/>
      <c r="H13" s="78">
        <f t="shared" si="1"/>
        <v>0</v>
      </c>
      <c r="I13" s="78"/>
      <c r="J13" s="78">
        <f t="shared" si="2"/>
        <v>0</v>
      </c>
      <c r="K13" s="78"/>
      <c r="L13" s="78">
        <f t="shared" si="3"/>
        <v>0</v>
      </c>
      <c r="M13" s="78"/>
      <c r="N13" s="78">
        <f t="shared" si="4"/>
        <v>0</v>
      </c>
      <c r="O13" s="78">
        <f t="shared" si="5"/>
        <v>0</v>
      </c>
    </row>
    <row r="14" spans="1:24" x14ac:dyDescent="0.25">
      <c r="A14" s="41"/>
      <c r="B14" s="42" t="s">
        <v>39</v>
      </c>
      <c r="C14" s="41" t="s">
        <v>62</v>
      </c>
      <c r="D14" s="76">
        <v>175000</v>
      </c>
      <c r="E14" s="77"/>
      <c r="F14" s="78">
        <f t="shared" si="0"/>
        <v>0</v>
      </c>
      <c r="G14" s="78"/>
      <c r="H14" s="78">
        <f t="shared" si="1"/>
        <v>0</v>
      </c>
      <c r="I14" s="78"/>
      <c r="J14" s="78">
        <f t="shared" si="2"/>
        <v>0</v>
      </c>
      <c r="K14" s="78"/>
      <c r="L14" s="78">
        <f t="shared" si="3"/>
        <v>0</v>
      </c>
      <c r="M14" s="78"/>
      <c r="N14" s="78">
        <f t="shared" si="4"/>
        <v>0</v>
      </c>
      <c r="O14" s="78">
        <f t="shared" si="5"/>
        <v>0</v>
      </c>
    </row>
    <row r="15" spans="1:24" x14ac:dyDescent="0.25">
      <c r="A15" s="41"/>
      <c r="B15" s="42" t="s">
        <v>40</v>
      </c>
      <c r="C15" s="41" t="s">
        <v>62</v>
      </c>
      <c r="D15" s="76">
        <v>35000</v>
      </c>
      <c r="E15" s="77"/>
      <c r="F15" s="78">
        <f t="shared" si="0"/>
        <v>0</v>
      </c>
      <c r="G15" s="78"/>
      <c r="H15" s="78">
        <f t="shared" si="1"/>
        <v>0</v>
      </c>
      <c r="I15" s="78"/>
      <c r="J15" s="78">
        <f t="shared" si="2"/>
        <v>0</v>
      </c>
      <c r="K15" s="78"/>
      <c r="L15" s="78">
        <f t="shared" si="3"/>
        <v>0</v>
      </c>
      <c r="M15" s="78"/>
      <c r="N15" s="78">
        <f t="shared" si="4"/>
        <v>0</v>
      </c>
      <c r="O15" s="78">
        <f t="shared" si="5"/>
        <v>0</v>
      </c>
    </row>
    <row r="16" spans="1:24" x14ac:dyDescent="0.25">
      <c r="A16" s="41"/>
      <c r="B16" s="42" t="s">
        <v>41</v>
      </c>
      <c r="C16" s="41" t="s">
        <v>61</v>
      </c>
      <c r="D16" s="76">
        <v>75000</v>
      </c>
      <c r="E16" s="77"/>
      <c r="F16" s="78">
        <f t="shared" si="0"/>
        <v>0</v>
      </c>
      <c r="G16" s="78"/>
      <c r="H16" s="78">
        <f t="shared" si="1"/>
        <v>0</v>
      </c>
      <c r="I16" s="78">
        <v>0</v>
      </c>
      <c r="J16" s="78">
        <f t="shared" si="2"/>
        <v>0</v>
      </c>
      <c r="K16" s="78"/>
      <c r="L16" s="78">
        <f t="shared" si="3"/>
        <v>0</v>
      </c>
      <c r="M16" s="78">
        <v>0</v>
      </c>
      <c r="N16" s="78">
        <f t="shared" si="4"/>
        <v>0</v>
      </c>
      <c r="O16" s="78">
        <f t="shared" si="5"/>
        <v>0</v>
      </c>
    </row>
    <row r="17" spans="1:15" x14ac:dyDescent="0.25">
      <c r="A17" s="41"/>
      <c r="B17" s="42" t="s">
        <v>42</v>
      </c>
      <c r="C17" s="41" t="s">
        <v>60</v>
      </c>
      <c r="D17" s="76">
        <v>350000</v>
      </c>
      <c r="E17" s="77"/>
      <c r="F17" s="78">
        <f t="shared" si="0"/>
        <v>0</v>
      </c>
      <c r="G17" s="78"/>
      <c r="H17" s="78">
        <f t="shared" si="1"/>
        <v>0</v>
      </c>
      <c r="I17" s="78">
        <v>0</v>
      </c>
      <c r="J17" s="78">
        <f t="shared" si="2"/>
        <v>0</v>
      </c>
      <c r="K17" s="78"/>
      <c r="L17" s="78">
        <f t="shared" si="3"/>
        <v>0</v>
      </c>
      <c r="M17" s="78">
        <v>0</v>
      </c>
      <c r="N17" s="78">
        <f t="shared" si="4"/>
        <v>0</v>
      </c>
      <c r="O17" s="78">
        <f t="shared" si="5"/>
        <v>0</v>
      </c>
    </row>
    <row r="18" spans="1:15" s="10" customFormat="1" x14ac:dyDescent="0.25">
      <c r="A18" s="12" t="s">
        <v>47</v>
      </c>
      <c r="B18" s="12" t="s">
        <v>64</v>
      </c>
      <c r="C18" s="11"/>
      <c r="D18" s="74"/>
      <c r="E18" s="75">
        <v>475</v>
      </c>
      <c r="F18" s="75">
        <f>SUBTOTAL(9,F19:F25)</f>
        <v>796575000</v>
      </c>
      <c r="G18" s="75">
        <v>250</v>
      </c>
      <c r="H18" s="75">
        <f>SUBTOTAL(9,H19:H25)</f>
        <v>431827500</v>
      </c>
      <c r="I18" s="75">
        <v>250</v>
      </c>
      <c r="J18" s="75">
        <f>SUBTOTAL(9,J19:J25)</f>
        <v>444405000</v>
      </c>
      <c r="K18" s="75">
        <f>G18</f>
        <v>250</v>
      </c>
      <c r="L18" s="75">
        <f>SUBTOTAL(9,L19:L25)</f>
        <v>456982500</v>
      </c>
      <c r="M18" s="75">
        <f>G18</f>
        <v>250</v>
      </c>
      <c r="N18" s="75">
        <f>SUBTOTAL(9,N19:N25)</f>
        <v>469560000</v>
      </c>
      <c r="O18" s="75">
        <f>SUBTOTAL(9,O19:O25)</f>
        <v>2599350000</v>
      </c>
    </row>
    <row r="19" spans="1:15" x14ac:dyDescent="0.25">
      <c r="A19" s="41"/>
      <c r="B19" s="42" t="s">
        <v>37</v>
      </c>
      <c r="C19" s="41" t="s">
        <v>60</v>
      </c>
      <c r="D19" s="76">
        <v>517000</v>
      </c>
      <c r="E19" s="78">
        <f>E18*2</f>
        <v>950</v>
      </c>
      <c r="F19" s="78">
        <f t="shared" ref="F19:F25" si="6">E19*D19</f>
        <v>491150000</v>
      </c>
      <c r="G19" s="78">
        <f>G18*2</f>
        <v>500</v>
      </c>
      <c r="H19" s="78">
        <f>G19*(D19+D19*3%)</f>
        <v>266255000</v>
      </c>
      <c r="I19" s="78">
        <f>I18*2</f>
        <v>500</v>
      </c>
      <c r="J19" s="78">
        <f t="shared" ref="J19:J25" si="7">I19*(D19+D19*6%)</f>
        <v>274010000</v>
      </c>
      <c r="K19" s="78">
        <f>K18*2</f>
        <v>500</v>
      </c>
      <c r="L19" s="78">
        <f t="shared" ref="L19:L25" si="8">K19*(D19+D19*9%)</f>
        <v>281765000</v>
      </c>
      <c r="M19" s="78">
        <f>M18*2</f>
        <v>500</v>
      </c>
      <c r="N19" s="78">
        <f t="shared" ref="N19:N25" si="9">M19*(D19+D19*12%)</f>
        <v>289520000</v>
      </c>
      <c r="O19" s="78">
        <f t="shared" ref="O19:O25" si="10">F19+H19+J19+L19+N19</f>
        <v>1602700000</v>
      </c>
    </row>
    <row r="20" spans="1:15" x14ac:dyDescent="0.25">
      <c r="A20" s="41"/>
      <c r="B20" s="42" t="s">
        <v>282</v>
      </c>
      <c r="C20" s="41" t="s">
        <v>61</v>
      </c>
      <c r="D20" s="76">
        <v>155000</v>
      </c>
      <c r="E20" s="78">
        <f>E18</f>
        <v>475</v>
      </c>
      <c r="F20" s="78">
        <f t="shared" si="6"/>
        <v>73625000</v>
      </c>
      <c r="G20" s="78">
        <f>G18</f>
        <v>250</v>
      </c>
      <c r="H20" s="78">
        <f t="shared" ref="H20:H25" si="11">G20*(D20+D20*3%)</f>
        <v>39912500</v>
      </c>
      <c r="I20" s="78">
        <f>I18</f>
        <v>250</v>
      </c>
      <c r="J20" s="78">
        <f t="shared" si="7"/>
        <v>41075000</v>
      </c>
      <c r="K20" s="78">
        <f>K18</f>
        <v>250</v>
      </c>
      <c r="L20" s="78">
        <f t="shared" si="8"/>
        <v>42237500</v>
      </c>
      <c r="M20" s="78">
        <f>M18</f>
        <v>250</v>
      </c>
      <c r="N20" s="78">
        <f t="shared" si="9"/>
        <v>43400000</v>
      </c>
      <c r="O20" s="78">
        <f t="shared" si="10"/>
        <v>240250000</v>
      </c>
    </row>
    <row r="21" spans="1:15" x14ac:dyDescent="0.25">
      <c r="A21" s="41"/>
      <c r="B21" s="42" t="s">
        <v>249</v>
      </c>
      <c r="C21" s="41" t="s">
        <v>61</v>
      </c>
      <c r="D21" s="76">
        <v>78000</v>
      </c>
      <c r="E21" s="78">
        <f>E18</f>
        <v>475</v>
      </c>
      <c r="F21" s="78">
        <f t="shared" si="6"/>
        <v>37050000</v>
      </c>
      <c r="G21" s="78">
        <f>G18</f>
        <v>250</v>
      </c>
      <c r="H21" s="78">
        <f t="shared" si="11"/>
        <v>20085000</v>
      </c>
      <c r="I21" s="78">
        <f>I18</f>
        <v>250</v>
      </c>
      <c r="J21" s="78">
        <f t="shared" si="7"/>
        <v>20670000</v>
      </c>
      <c r="K21" s="78">
        <f>K18</f>
        <v>250</v>
      </c>
      <c r="L21" s="78">
        <f t="shared" si="8"/>
        <v>21255000</v>
      </c>
      <c r="M21" s="78">
        <f>M18</f>
        <v>250</v>
      </c>
      <c r="N21" s="78">
        <f t="shared" si="9"/>
        <v>21840000</v>
      </c>
      <c r="O21" s="78">
        <f t="shared" si="10"/>
        <v>120900000</v>
      </c>
    </row>
    <row r="22" spans="1:15" x14ac:dyDescent="0.25">
      <c r="A22" s="41"/>
      <c r="B22" s="42" t="s">
        <v>39</v>
      </c>
      <c r="C22" s="41" t="s">
        <v>62</v>
      </c>
      <c r="D22" s="76">
        <v>175000</v>
      </c>
      <c r="E22" s="78">
        <f>E18</f>
        <v>475</v>
      </c>
      <c r="F22" s="78">
        <f t="shared" si="6"/>
        <v>83125000</v>
      </c>
      <c r="G22" s="78">
        <f>G18</f>
        <v>250</v>
      </c>
      <c r="H22" s="78">
        <f t="shared" si="11"/>
        <v>45062500</v>
      </c>
      <c r="I22" s="78">
        <f>I18</f>
        <v>250</v>
      </c>
      <c r="J22" s="78">
        <f t="shared" si="7"/>
        <v>46375000</v>
      </c>
      <c r="K22" s="78">
        <f>K18</f>
        <v>250</v>
      </c>
      <c r="L22" s="78">
        <f t="shared" si="8"/>
        <v>47687500</v>
      </c>
      <c r="M22" s="78">
        <f>M18</f>
        <v>250</v>
      </c>
      <c r="N22" s="78">
        <f t="shared" si="9"/>
        <v>49000000</v>
      </c>
      <c r="O22" s="78">
        <f t="shared" si="10"/>
        <v>271250000</v>
      </c>
    </row>
    <row r="23" spans="1:15" x14ac:dyDescent="0.25">
      <c r="A23" s="41"/>
      <c r="B23" s="42" t="s">
        <v>40</v>
      </c>
      <c r="C23" s="41" t="s">
        <v>62</v>
      </c>
      <c r="D23" s="76">
        <v>35000</v>
      </c>
      <c r="E23" s="78">
        <f>E19</f>
        <v>950</v>
      </c>
      <c r="F23" s="78">
        <f t="shared" si="6"/>
        <v>33250000</v>
      </c>
      <c r="G23" s="78">
        <f>G19</f>
        <v>500</v>
      </c>
      <c r="H23" s="78">
        <f t="shared" si="11"/>
        <v>18025000</v>
      </c>
      <c r="I23" s="78">
        <f>I19</f>
        <v>500</v>
      </c>
      <c r="J23" s="78">
        <f t="shared" si="7"/>
        <v>18550000</v>
      </c>
      <c r="K23" s="78">
        <f>K19</f>
        <v>500</v>
      </c>
      <c r="L23" s="78">
        <f t="shared" si="8"/>
        <v>19075000</v>
      </c>
      <c r="M23" s="78">
        <f>M19</f>
        <v>500</v>
      </c>
      <c r="N23" s="78">
        <f t="shared" si="9"/>
        <v>19600000</v>
      </c>
      <c r="O23" s="78">
        <f t="shared" si="10"/>
        <v>108500000</v>
      </c>
    </row>
    <row r="24" spans="1:15" x14ac:dyDescent="0.25">
      <c r="A24" s="41"/>
      <c r="B24" s="42" t="s">
        <v>41</v>
      </c>
      <c r="C24" s="41" t="s">
        <v>61</v>
      </c>
      <c r="D24" s="76">
        <v>75000</v>
      </c>
      <c r="E24" s="78">
        <f>E18</f>
        <v>475</v>
      </c>
      <c r="F24" s="78">
        <f t="shared" si="6"/>
        <v>35625000</v>
      </c>
      <c r="G24" s="78">
        <f>G18</f>
        <v>250</v>
      </c>
      <c r="H24" s="78">
        <f t="shared" si="11"/>
        <v>19312500</v>
      </c>
      <c r="I24" s="78">
        <f>I18</f>
        <v>250</v>
      </c>
      <c r="J24" s="78">
        <f t="shared" si="7"/>
        <v>19875000</v>
      </c>
      <c r="K24" s="78">
        <f>K18</f>
        <v>250</v>
      </c>
      <c r="L24" s="78">
        <f t="shared" si="8"/>
        <v>20437500</v>
      </c>
      <c r="M24" s="78">
        <f>M18</f>
        <v>250</v>
      </c>
      <c r="N24" s="78">
        <f t="shared" si="9"/>
        <v>21000000</v>
      </c>
      <c r="O24" s="78">
        <f t="shared" si="10"/>
        <v>116250000</v>
      </c>
    </row>
    <row r="25" spans="1:15" x14ac:dyDescent="0.25">
      <c r="A25" s="41"/>
      <c r="B25" s="42" t="s">
        <v>111</v>
      </c>
      <c r="C25" s="41" t="s">
        <v>61</v>
      </c>
      <c r="D25" s="76">
        <v>90000</v>
      </c>
      <c r="E25" s="78">
        <f>E18</f>
        <v>475</v>
      </c>
      <c r="F25" s="78">
        <f t="shared" si="6"/>
        <v>42750000</v>
      </c>
      <c r="G25" s="78">
        <f>G18</f>
        <v>250</v>
      </c>
      <c r="H25" s="78">
        <f t="shared" si="11"/>
        <v>23175000</v>
      </c>
      <c r="I25" s="78">
        <f>I18</f>
        <v>250</v>
      </c>
      <c r="J25" s="78">
        <f t="shared" si="7"/>
        <v>23850000</v>
      </c>
      <c r="K25" s="78">
        <f>K18</f>
        <v>250</v>
      </c>
      <c r="L25" s="78">
        <f t="shared" si="8"/>
        <v>24525000</v>
      </c>
      <c r="M25" s="78">
        <f>M18</f>
        <v>250</v>
      </c>
      <c r="N25" s="78">
        <f t="shared" si="9"/>
        <v>25200000</v>
      </c>
      <c r="O25" s="78">
        <f t="shared" si="10"/>
        <v>139500000</v>
      </c>
    </row>
    <row r="26" spans="1:15" s="10" customFormat="1" x14ac:dyDescent="0.25">
      <c r="A26" s="12" t="s">
        <v>48</v>
      </c>
      <c r="B26" s="12" t="s">
        <v>115</v>
      </c>
      <c r="C26" s="11"/>
      <c r="D26" s="74"/>
      <c r="E26" s="75">
        <f>E27+E35+E43</f>
        <v>974</v>
      </c>
      <c r="F26" s="75">
        <f>SUBTOTAL(9,F27:F50)</f>
        <v>1589970000</v>
      </c>
      <c r="G26" s="75">
        <f>G27+G35+G43</f>
        <v>84</v>
      </c>
      <c r="H26" s="75">
        <f>SUBTOTAL(9,H27:H50)</f>
        <v>65928240</v>
      </c>
      <c r="I26" s="75">
        <f>I27+I35+I43</f>
        <v>974</v>
      </c>
      <c r="J26" s="75">
        <f>SUBTOTAL(9,J27:J50)</f>
        <v>1244270400</v>
      </c>
      <c r="K26" s="75">
        <f>K27+K35+K43</f>
        <v>974</v>
      </c>
      <c r="L26" s="75">
        <f>SUBTOTAL(9,L27:L50)</f>
        <v>391351420</v>
      </c>
      <c r="M26" s="75">
        <f>M27+M35+M43</f>
        <v>974</v>
      </c>
      <c r="N26" s="75">
        <f>SUBTOTAL(9,N27:N50)</f>
        <v>1450332800</v>
      </c>
      <c r="O26" s="75">
        <f>SUBTOTAL(9,O27:O50)</f>
        <v>4741852860</v>
      </c>
    </row>
    <row r="27" spans="1:15" s="10" customFormat="1" x14ac:dyDescent="0.25">
      <c r="A27" s="11">
        <v>1</v>
      </c>
      <c r="B27" s="12" t="s">
        <v>52</v>
      </c>
      <c r="C27" s="11"/>
      <c r="D27" s="74"/>
      <c r="E27" s="75">
        <v>84</v>
      </c>
      <c r="F27" s="75">
        <f>SUBTOTAL(9,F28:F34)</f>
        <v>97440000</v>
      </c>
      <c r="G27" s="75">
        <f>E27</f>
        <v>84</v>
      </c>
      <c r="H27" s="75">
        <f>SUBTOTAL(9,H28:H34)</f>
        <v>65928240</v>
      </c>
      <c r="I27" s="75">
        <f>G27</f>
        <v>84</v>
      </c>
      <c r="J27" s="75">
        <f>SUBTOTAL(9,J28:J34)</f>
        <v>95272800</v>
      </c>
      <c r="K27" s="75">
        <f>G27</f>
        <v>84</v>
      </c>
      <c r="L27" s="75">
        <f>SUBTOTAL(9,L28:L34)</f>
        <v>78009120</v>
      </c>
      <c r="M27" s="75">
        <f>I27</f>
        <v>84</v>
      </c>
      <c r="N27" s="75">
        <f>SUBTOTAL(9,N28:N34)</f>
        <v>100665600</v>
      </c>
      <c r="O27" s="75">
        <f>SUBTOTAL(9,O28:O34)</f>
        <v>437315760</v>
      </c>
    </row>
    <row r="28" spans="1:15" x14ac:dyDescent="0.25">
      <c r="A28" s="41"/>
      <c r="B28" s="42" t="s">
        <v>37</v>
      </c>
      <c r="C28" s="41" t="s">
        <v>60</v>
      </c>
      <c r="D28" s="76">
        <v>517000</v>
      </c>
      <c r="E28" s="78">
        <v>84</v>
      </c>
      <c r="F28" s="78">
        <f>E28*D28</f>
        <v>43428000</v>
      </c>
      <c r="G28" s="78">
        <v>84</v>
      </c>
      <c r="H28" s="78">
        <f>G28*(D28+D28*3%)</f>
        <v>44730840</v>
      </c>
      <c r="I28" s="78">
        <f>I27</f>
        <v>84</v>
      </c>
      <c r="J28" s="78">
        <f t="shared" ref="J28:J34" si="12">I28*(D28+D28*6%)</f>
        <v>46033680</v>
      </c>
      <c r="K28" s="78">
        <f>I27</f>
        <v>84</v>
      </c>
      <c r="L28" s="78">
        <f t="shared" ref="L28:L34" si="13">K28*(D28+D28*9%)</f>
        <v>47336520</v>
      </c>
      <c r="M28" s="78">
        <f>I28</f>
        <v>84</v>
      </c>
      <c r="N28" s="78">
        <f t="shared" ref="N28:N34" si="14">M28*(D28+D28*12%)</f>
        <v>48639360</v>
      </c>
      <c r="O28" s="78">
        <f t="shared" ref="O28:O34" si="15">F28+H28+J28+L28+N28</f>
        <v>230168400</v>
      </c>
    </row>
    <row r="29" spans="1:15" x14ac:dyDescent="0.25">
      <c r="A29" s="41"/>
      <c r="B29" s="42" t="s">
        <v>282</v>
      </c>
      <c r="C29" s="41" t="s">
        <v>61</v>
      </c>
      <c r="D29" s="76">
        <v>155000</v>
      </c>
      <c r="E29" s="78">
        <v>84</v>
      </c>
      <c r="F29" s="78">
        <f t="shared" ref="F29:F50" si="16">E29*D29</f>
        <v>13020000</v>
      </c>
      <c r="G29" s="78"/>
      <c r="H29" s="78">
        <f t="shared" ref="H29:H34" si="17">G29*(D29+D29*3%)</f>
        <v>0</v>
      </c>
      <c r="I29" s="78">
        <f>I27</f>
        <v>84</v>
      </c>
      <c r="J29" s="78">
        <f t="shared" si="12"/>
        <v>13801200</v>
      </c>
      <c r="K29" s="78"/>
      <c r="L29" s="78">
        <f t="shared" si="13"/>
        <v>0</v>
      </c>
      <c r="M29" s="78">
        <f t="shared" ref="M29:M34" si="18">I29</f>
        <v>84</v>
      </c>
      <c r="N29" s="78">
        <f t="shared" si="14"/>
        <v>14582400</v>
      </c>
      <c r="O29" s="78">
        <f t="shared" si="15"/>
        <v>41403600</v>
      </c>
    </row>
    <row r="30" spans="1:15" x14ac:dyDescent="0.25">
      <c r="A30" s="41"/>
      <c r="B30" s="42" t="s">
        <v>249</v>
      </c>
      <c r="C30" s="41" t="s">
        <v>61</v>
      </c>
      <c r="D30" s="76">
        <v>78000</v>
      </c>
      <c r="E30" s="78">
        <v>84</v>
      </c>
      <c r="F30" s="78">
        <f t="shared" si="16"/>
        <v>6552000</v>
      </c>
      <c r="G30" s="78">
        <f t="shared" ref="G30" si="19">G29</f>
        <v>0</v>
      </c>
      <c r="H30" s="78">
        <f t="shared" si="17"/>
        <v>0</v>
      </c>
      <c r="I30" s="78">
        <f>I27</f>
        <v>84</v>
      </c>
      <c r="J30" s="78">
        <f t="shared" si="12"/>
        <v>6945120</v>
      </c>
      <c r="K30" s="78"/>
      <c r="L30" s="78">
        <f t="shared" si="13"/>
        <v>0</v>
      </c>
      <c r="M30" s="78">
        <f t="shared" si="18"/>
        <v>84</v>
      </c>
      <c r="N30" s="78">
        <f t="shared" si="14"/>
        <v>7338240</v>
      </c>
      <c r="O30" s="78">
        <f t="shared" si="15"/>
        <v>20835360</v>
      </c>
    </row>
    <row r="31" spans="1:15" x14ac:dyDescent="0.25">
      <c r="A31" s="41"/>
      <c r="B31" s="42" t="s">
        <v>39</v>
      </c>
      <c r="C31" s="41" t="s">
        <v>62</v>
      </c>
      <c r="D31" s="76">
        <v>175000</v>
      </c>
      <c r="E31" s="78">
        <v>84</v>
      </c>
      <c r="F31" s="78">
        <f t="shared" si="16"/>
        <v>14700000</v>
      </c>
      <c r="G31" s="78">
        <v>84</v>
      </c>
      <c r="H31" s="78">
        <f t="shared" si="17"/>
        <v>15141000</v>
      </c>
      <c r="I31" s="78">
        <f>I27</f>
        <v>84</v>
      </c>
      <c r="J31" s="78">
        <f t="shared" si="12"/>
        <v>15582000</v>
      </c>
      <c r="K31" s="78">
        <f>I31</f>
        <v>84</v>
      </c>
      <c r="L31" s="78">
        <f t="shared" si="13"/>
        <v>16023000</v>
      </c>
      <c r="M31" s="78">
        <f t="shared" si="18"/>
        <v>84</v>
      </c>
      <c r="N31" s="78">
        <f t="shared" si="14"/>
        <v>16464000</v>
      </c>
      <c r="O31" s="78">
        <f t="shared" si="15"/>
        <v>77910000</v>
      </c>
    </row>
    <row r="32" spans="1:15" x14ac:dyDescent="0.25">
      <c r="A32" s="41"/>
      <c r="B32" s="42" t="s">
        <v>40</v>
      </c>
      <c r="C32" s="41" t="s">
        <v>62</v>
      </c>
      <c r="D32" s="76">
        <v>35000</v>
      </c>
      <c r="E32" s="78">
        <v>168</v>
      </c>
      <c r="F32" s="78">
        <f t="shared" si="16"/>
        <v>5880000</v>
      </c>
      <c r="G32" s="78">
        <v>168</v>
      </c>
      <c r="H32" s="78">
        <f t="shared" si="17"/>
        <v>6056400</v>
      </c>
      <c r="I32" s="78">
        <f>I27*2</f>
        <v>168</v>
      </c>
      <c r="J32" s="78">
        <f t="shared" si="12"/>
        <v>6232800</v>
      </c>
      <c r="K32" s="78">
        <f>I32</f>
        <v>168</v>
      </c>
      <c r="L32" s="78">
        <f t="shared" si="13"/>
        <v>6409200</v>
      </c>
      <c r="M32" s="78">
        <f t="shared" si="18"/>
        <v>168</v>
      </c>
      <c r="N32" s="78">
        <f t="shared" si="14"/>
        <v>6585600</v>
      </c>
      <c r="O32" s="78">
        <f t="shared" si="15"/>
        <v>31164000</v>
      </c>
    </row>
    <row r="33" spans="1:15" x14ac:dyDescent="0.25">
      <c r="A33" s="41"/>
      <c r="B33" s="42" t="s">
        <v>41</v>
      </c>
      <c r="C33" s="41" t="s">
        <v>61</v>
      </c>
      <c r="D33" s="76">
        <v>75000</v>
      </c>
      <c r="E33" s="78">
        <v>84</v>
      </c>
      <c r="F33" s="78">
        <f t="shared" si="16"/>
        <v>6300000</v>
      </c>
      <c r="G33" s="78"/>
      <c r="H33" s="78">
        <f t="shared" si="17"/>
        <v>0</v>
      </c>
      <c r="I33" s="78">
        <f>I27</f>
        <v>84</v>
      </c>
      <c r="J33" s="78">
        <f t="shared" si="12"/>
        <v>6678000</v>
      </c>
      <c r="K33" s="78"/>
      <c r="L33" s="78">
        <f t="shared" si="13"/>
        <v>0</v>
      </c>
      <c r="M33" s="78">
        <f t="shared" si="18"/>
        <v>84</v>
      </c>
      <c r="N33" s="78">
        <f t="shared" si="14"/>
        <v>7056000</v>
      </c>
      <c r="O33" s="78">
        <f t="shared" si="15"/>
        <v>20034000</v>
      </c>
    </row>
    <row r="34" spans="1:15" x14ac:dyDescent="0.25">
      <c r="A34" s="41"/>
      <c r="B34" s="42" t="s">
        <v>111</v>
      </c>
      <c r="C34" s="41" t="s">
        <v>61</v>
      </c>
      <c r="D34" s="76">
        <v>90000</v>
      </c>
      <c r="E34" s="78">
        <v>84</v>
      </c>
      <c r="F34" s="78">
        <f t="shared" si="16"/>
        <v>7560000</v>
      </c>
      <c r="G34" s="78"/>
      <c r="H34" s="78">
        <f t="shared" si="17"/>
        <v>0</v>
      </c>
      <c r="I34" s="78"/>
      <c r="J34" s="78">
        <f t="shared" si="12"/>
        <v>0</v>
      </c>
      <c r="K34" s="78">
        <f>K27</f>
        <v>84</v>
      </c>
      <c r="L34" s="78">
        <f t="shared" si="13"/>
        <v>8240400</v>
      </c>
      <c r="M34" s="78">
        <f t="shared" si="18"/>
        <v>0</v>
      </c>
      <c r="N34" s="78">
        <f t="shared" si="14"/>
        <v>0</v>
      </c>
      <c r="O34" s="78">
        <f t="shared" si="15"/>
        <v>15800400</v>
      </c>
    </row>
    <row r="35" spans="1:15" s="10" customFormat="1" x14ac:dyDescent="0.25">
      <c r="A35" s="11">
        <v>2</v>
      </c>
      <c r="B35" s="11" t="s">
        <v>53</v>
      </c>
      <c r="C35" s="11"/>
      <c r="D35" s="74"/>
      <c r="E35" s="75">
        <v>692</v>
      </c>
      <c r="F35" s="75">
        <f>SUBTOTAL(9,F36:F42)</f>
        <v>1160484000</v>
      </c>
      <c r="G35" s="75"/>
      <c r="H35" s="75">
        <f>SUBTOTAL(9,H36:H42)</f>
        <v>0</v>
      </c>
      <c r="I35" s="75">
        <f>E35</f>
        <v>692</v>
      </c>
      <c r="J35" s="75">
        <f>SUBTOTAL(9,J36:J42)</f>
        <v>864820080</v>
      </c>
      <c r="K35" s="75">
        <f>I35</f>
        <v>692</v>
      </c>
      <c r="L35" s="75">
        <f>SUBTOTAL(9,L36:L42)</f>
        <v>243632440</v>
      </c>
      <c r="M35" s="75">
        <f>K35</f>
        <v>692</v>
      </c>
      <c r="N35" s="75">
        <f>SUBTOTAL(9,N36:N42)</f>
        <v>1049404160</v>
      </c>
      <c r="O35" s="75">
        <f>SUBTOTAL(9,O36:O42)</f>
        <v>3318340680</v>
      </c>
    </row>
    <row r="36" spans="1:15" x14ac:dyDescent="0.25">
      <c r="A36" s="41"/>
      <c r="B36" s="42" t="s">
        <v>37</v>
      </c>
      <c r="C36" s="41" t="s">
        <v>60</v>
      </c>
      <c r="D36" s="76">
        <v>517000</v>
      </c>
      <c r="E36" s="78">
        <f>E35*2</f>
        <v>1384</v>
      </c>
      <c r="F36" s="78">
        <f t="shared" si="16"/>
        <v>715528000</v>
      </c>
      <c r="G36" s="78"/>
      <c r="H36" s="78">
        <f>G36*(D36+D36*3%)</f>
        <v>0</v>
      </c>
      <c r="I36" s="78">
        <f>I35*2</f>
        <v>1384</v>
      </c>
      <c r="J36" s="78">
        <f t="shared" ref="J36:J42" si="20">I36*(D36+D36*6%)</f>
        <v>758459680</v>
      </c>
      <c r="K36" s="78"/>
      <c r="L36" s="78">
        <f t="shared" ref="L36:L42" si="21">K36*(D36+D36*9%)</f>
        <v>0</v>
      </c>
      <c r="M36" s="78">
        <f>M35*2</f>
        <v>1384</v>
      </c>
      <c r="N36" s="78">
        <f t="shared" ref="N36:N42" si="22">M36*(D36+D36*12%)</f>
        <v>801391360</v>
      </c>
      <c r="O36" s="78">
        <f t="shared" ref="O36:O42" si="23">F36+H36+J36+L36+N36</f>
        <v>2275379040</v>
      </c>
    </row>
    <row r="37" spans="1:15" x14ac:dyDescent="0.25">
      <c r="A37" s="41"/>
      <c r="B37" s="42" t="s">
        <v>282</v>
      </c>
      <c r="C37" s="41" t="s">
        <v>61</v>
      </c>
      <c r="D37" s="76">
        <v>155000</v>
      </c>
      <c r="E37" s="78">
        <f>$E$35</f>
        <v>692</v>
      </c>
      <c r="F37" s="78">
        <f t="shared" si="16"/>
        <v>107260000</v>
      </c>
      <c r="G37" s="78"/>
      <c r="H37" s="78">
        <f t="shared" ref="H37:H42" si="24">G37*(D37+D37*3%)</f>
        <v>0</v>
      </c>
      <c r="I37" s="78"/>
      <c r="J37" s="78">
        <f t="shared" si="20"/>
        <v>0</v>
      </c>
      <c r="K37" s="78">
        <f>K35</f>
        <v>692</v>
      </c>
      <c r="L37" s="78">
        <f t="shared" si="21"/>
        <v>116913400</v>
      </c>
      <c r="M37" s="78"/>
      <c r="N37" s="78">
        <f t="shared" si="22"/>
        <v>0</v>
      </c>
      <c r="O37" s="78">
        <f t="shared" si="23"/>
        <v>224173400</v>
      </c>
    </row>
    <row r="38" spans="1:15" x14ac:dyDescent="0.25">
      <c r="A38" s="41"/>
      <c r="B38" s="42" t="s">
        <v>249</v>
      </c>
      <c r="C38" s="41" t="s">
        <v>61</v>
      </c>
      <c r="D38" s="76">
        <v>78000</v>
      </c>
      <c r="E38" s="78">
        <f>$E$35</f>
        <v>692</v>
      </c>
      <c r="F38" s="78">
        <f t="shared" si="16"/>
        <v>53976000</v>
      </c>
      <c r="G38" s="78"/>
      <c r="H38" s="78">
        <f t="shared" si="24"/>
        <v>0</v>
      </c>
      <c r="I38" s="78"/>
      <c r="J38" s="78">
        <f t="shared" si="20"/>
        <v>0</v>
      </c>
      <c r="K38" s="78">
        <f>K35</f>
        <v>692</v>
      </c>
      <c r="L38" s="78">
        <f t="shared" si="21"/>
        <v>58833840</v>
      </c>
      <c r="M38" s="78"/>
      <c r="N38" s="78">
        <f t="shared" si="22"/>
        <v>0</v>
      </c>
      <c r="O38" s="78">
        <f t="shared" si="23"/>
        <v>112809840</v>
      </c>
    </row>
    <row r="39" spans="1:15" x14ac:dyDescent="0.25">
      <c r="A39" s="41"/>
      <c r="B39" s="42" t="s">
        <v>39</v>
      </c>
      <c r="C39" s="41" t="s">
        <v>62</v>
      </c>
      <c r="D39" s="76">
        <v>175000</v>
      </c>
      <c r="E39" s="78">
        <f>$E$35</f>
        <v>692</v>
      </c>
      <c r="F39" s="78">
        <f t="shared" si="16"/>
        <v>121100000</v>
      </c>
      <c r="G39" s="78"/>
      <c r="H39" s="78">
        <f>H38</f>
        <v>0</v>
      </c>
      <c r="I39" s="78">
        <f>H39*G39</f>
        <v>0</v>
      </c>
      <c r="J39" s="78">
        <f t="shared" si="20"/>
        <v>0</v>
      </c>
      <c r="K39" s="78"/>
      <c r="L39" s="78">
        <f t="shared" si="21"/>
        <v>0</v>
      </c>
      <c r="M39" s="78">
        <f>M35</f>
        <v>692</v>
      </c>
      <c r="N39" s="78">
        <f t="shared" si="22"/>
        <v>135632000</v>
      </c>
      <c r="O39" s="78">
        <f t="shared" si="23"/>
        <v>256732000</v>
      </c>
    </row>
    <row r="40" spans="1:15" x14ac:dyDescent="0.25">
      <c r="A40" s="41"/>
      <c r="B40" s="42" t="s">
        <v>40</v>
      </c>
      <c r="C40" s="41" t="s">
        <v>62</v>
      </c>
      <c r="D40" s="76">
        <v>35000</v>
      </c>
      <c r="E40" s="78">
        <f>E36</f>
        <v>1384</v>
      </c>
      <c r="F40" s="78">
        <f t="shared" si="16"/>
        <v>48440000</v>
      </c>
      <c r="G40" s="78"/>
      <c r="H40" s="78">
        <f t="shared" si="24"/>
        <v>0</v>
      </c>
      <c r="I40" s="78">
        <f>I35*2</f>
        <v>1384</v>
      </c>
      <c r="J40" s="78">
        <f t="shared" si="20"/>
        <v>51346400</v>
      </c>
      <c r="K40" s="78"/>
      <c r="L40" s="78">
        <f t="shared" si="21"/>
        <v>0</v>
      </c>
      <c r="M40" s="78">
        <f>M35*2</f>
        <v>1384</v>
      </c>
      <c r="N40" s="78">
        <f t="shared" si="22"/>
        <v>54252800</v>
      </c>
      <c r="O40" s="78">
        <f t="shared" si="23"/>
        <v>154039200</v>
      </c>
    </row>
    <row r="41" spans="1:15" x14ac:dyDescent="0.25">
      <c r="A41" s="41"/>
      <c r="B41" s="42" t="s">
        <v>41</v>
      </c>
      <c r="C41" s="41" t="s">
        <v>61</v>
      </c>
      <c r="D41" s="76">
        <v>75000</v>
      </c>
      <c r="E41" s="78">
        <f>$E$35</f>
        <v>692</v>
      </c>
      <c r="F41" s="78">
        <f t="shared" si="16"/>
        <v>51900000</v>
      </c>
      <c r="G41" s="78"/>
      <c r="H41" s="78">
        <f t="shared" si="24"/>
        <v>0</v>
      </c>
      <c r="I41" s="78">
        <f>I35</f>
        <v>692</v>
      </c>
      <c r="J41" s="78">
        <f t="shared" si="20"/>
        <v>55014000</v>
      </c>
      <c r="K41" s="78"/>
      <c r="L41" s="78">
        <f t="shared" si="21"/>
        <v>0</v>
      </c>
      <c r="M41" s="78">
        <f>M35</f>
        <v>692</v>
      </c>
      <c r="N41" s="78">
        <f t="shared" si="22"/>
        <v>58128000</v>
      </c>
      <c r="O41" s="78">
        <f t="shared" si="23"/>
        <v>165042000</v>
      </c>
    </row>
    <row r="42" spans="1:15" x14ac:dyDescent="0.25">
      <c r="A42" s="41"/>
      <c r="B42" s="42" t="s">
        <v>111</v>
      </c>
      <c r="C42" s="41" t="s">
        <v>61</v>
      </c>
      <c r="D42" s="76">
        <v>90000</v>
      </c>
      <c r="E42" s="78">
        <f>$E$35</f>
        <v>692</v>
      </c>
      <c r="F42" s="78">
        <f t="shared" si="16"/>
        <v>62280000</v>
      </c>
      <c r="G42" s="78"/>
      <c r="H42" s="78">
        <f t="shared" si="24"/>
        <v>0</v>
      </c>
      <c r="I42" s="78"/>
      <c r="J42" s="78">
        <f t="shared" si="20"/>
        <v>0</v>
      </c>
      <c r="K42" s="78">
        <f>K35</f>
        <v>692</v>
      </c>
      <c r="L42" s="78">
        <f t="shared" si="21"/>
        <v>67885200</v>
      </c>
      <c r="M42" s="78"/>
      <c r="N42" s="78">
        <f t="shared" si="22"/>
        <v>0</v>
      </c>
      <c r="O42" s="78">
        <f t="shared" si="23"/>
        <v>130165200</v>
      </c>
    </row>
    <row r="43" spans="1:15" s="10" customFormat="1" ht="75" x14ac:dyDescent="0.25">
      <c r="A43" s="11">
        <v>3</v>
      </c>
      <c r="B43" s="43" t="s">
        <v>281</v>
      </c>
      <c r="C43" s="11"/>
      <c r="D43" s="74"/>
      <c r="E43" s="75">
        <v>198</v>
      </c>
      <c r="F43" s="75">
        <f>SUBTOTAL(9,F44:F50)</f>
        <v>332046000</v>
      </c>
      <c r="G43" s="75"/>
      <c r="H43" s="75">
        <f>SUBTOTAL(9,H44:H50)</f>
        <v>0</v>
      </c>
      <c r="I43" s="75">
        <v>198</v>
      </c>
      <c r="J43" s="75">
        <f>SUBTOTAL(9,J44:J50)</f>
        <v>284177520</v>
      </c>
      <c r="K43" s="75">
        <f>I43</f>
        <v>198</v>
      </c>
      <c r="L43" s="75">
        <f>SUBTOTAL(9,L44:L50)</f>
        <v>69709860</v>
      </c>
      <c r="M43" s="75">
        <f>I43</f>
        <v>198</v>
      </c>
      <c r="N43" s="75">
        <f>SUBTOTAL(9,N44:N50)</f>
        <v>300263040</v>
      </c>
      <c r="O43" s="75">
        <f>SUBTOTAL(9,O44:O50)</f>
        <v>986196420</v>
      </c>
    </row>
    <row r="44" spans="1:15" x14ac:dyDescent="0.25">
      <c r="A44" s="41"/>
      <c r="B44" s="42" t="s">
        <v>37</v>
      </c>
      <c r="C44" s="41" t="s">
        <v>60</v>
      </c>
      <c r="D44" s="76">
        <v>517000</v>
      </c>
      <c r="E44" s="78">
        <f>E43*2</f>
        <v>396</v>
      </c>
      <c r="F44" s="78">
        <f t="shared" si="16"/>
        <v>204732000</v>
      </c>
      <c r="G44" s="78"/>
      <c r="H44" s="78">
        <f>G44*(D44+D44*3%)</f>
        <v>0</v>
      </c>
      <c r="I44" s="78">
        <f>I43*2</f>
        <v>396</v>
      </c>
      <c r="J44" s="78">
        <f t="shared" ref="J44:J50" si="25">I44*(D44+D44*6%)</f>
        <v>217015920</v>
      </c>
      <c r="K44" s="78"/>
      <c r="L44" s="78">
        <f t="shared" ref="L44:L50" si="26">K44*(D44+D44*9%)</f>
        <v>0</v>
      </c>
      <c r="M44" s="78">
        <f>M43*2</f>
        <v>396</v>
      </c>
      <c r="N44" s="78">
        <f t="shared" ref="N44:N50" si="27">M44*(D44+D44*12%)</f>
        <v>229299840</v>
      </c>
      <c r="O44" s="78">
        <f t="shared" ref="O44:O50" si="28">F44+H44+J44+L44+N44</f>
        <v>651047760</v>
      </c>
    </row>
    <row r="45" spans="1:15" x14ac:dyDescent="0.25">
      <c r="A45" s="41"/>
      <c r="B45" s="42" t="s">
        <v>282</v>
      </c>
      <c r="C45" s="41" t="s">
        <v>61</v>
      </c>
      <c r="D45" s="76">
        <v>155000</v>
      </c>
      <c r="E45" s="78">
        <f>E43</f>
        <v>198</v>
      </c>
      <c r="F45" s="78">
        <f t="shared" si="16"/>
        <v>30690000</v>
      </c>
      <c r="G45" s="78"/>
      <c r="H45" s="78">
        <f t="shared" ref="H45:H50" si="29">G45*(D45+D45*3%)</f>
        <v>0</v>
      </c>
      <c r="I45" s="78"/>
      <c r="J45" s="78">
        <f t="shared" si="25"/>
        <v>0</v>
      </c>
      <c r="K45" s="78">
        <f>K43</f>
        <v>198</v>
      </c>
      <c r="L45" s="78">
        <f t="shared" si="26"/>
        <v>33452100</v>
      </c>
      <c r="M45" s="78"/>
      <c r="N45" s="78">
        <f t="shared" si="27"/>
        <v>0</v>
      </c>
      <c r="O45" s="78">
        <f t="shared" si="28"/>
        <v>64142100</v>
      </c>
    </row>
    <row r="46" spans="1:15" x14ac:dyDescent="0.25">
      <c r="A46" s="41"/>
      <c r="B46" s="42" t="s">
        <v>249</v>
      </c>
      <c r="C46" s="41" t="s">
        <v>61</v>
      </c>
      <c r="D46" s="76">
        <v>78000</v>
      </c>
      <c r="E46" s="78">
        <f>E43</f>
        <v>198</v>
      </c>
      <c r="F46" s="78">
        <f t="shared" si="16"/>
        <v>15444000</v>
      </c>
      <c r="G46" s="78"/>
      <c r="H46" s="78">
        <f t="shared" si="29"/>
        <v>0</v>
      </c>
      <c r="I46" s="78"/>
      <c r="J46" s="78">
        <f t="shared" si="25"/>
        <v>0</v>
      </c>
      <c r="K46" s="78">
        <f>K43</f>
        <v>198</v>
      </c>
      <c r="L46" s="78">
        <f t="shared" si="26"/>
        <v>16833960</v>
      </c>
      <c r="M46" s="78"/>
      <c r="N46" s="78">
        <f t="shared" si="27"/>
        <v>0</v>
      </c>
      <c r="O46" s="78">
        <f t="shared" si="28"/>
        <v>32277960</v>
      </c>
    </row>
    <row r="47" spans="1:15" x14ac:dyDescent="0.25">
      <c r="A47" s="41"/>
      <c r="B47" s="42" t="s">
        <v>39</v>
      </c>
      <c r="C47" s="41" t="s">
        <v>62</v>
      </c>
      <c r="D47" s="76">
        <v>175000</v>
      </c>
      <c r="E47" s="78">
        <f>E43</f>
        <v>198</v>
      </c>
      <c r="F47" s="78">
        <f t="shared" si="16"/>
        <v>34650000</v>
      </c>
      <c r="G47" s="78"/>
      <c r="H47" s="78">
        <f t="shared" si="29"/>
        <v>0</v>
      </c>
      <c r="I47" s="78">
        <f>I43</f>
        <v>198</v>
      </c>
      <c r="J47" s="78">
        <f t="shared" si="25"/>
        <v>36729000</v>
      </c>
      <c r="K47" s="78"/>
      <c r="L47" s="78">
        <f t="shared" si="26"/>
        <v>0</v>
      </c>
      <c r="M47" s="78">
        <f>M43</f>
        <v>198</v>
      </c>
      <c r="N47" s="78">
        <f t="shared" si="27"/>
        <v>38808000</v>
      </c>
      <c r="O47" s="78">
        <f t="shared" si="28"/>
        <v>110187000</v>
      </c>
    </row>
    <row r="48" spans="1:15" x14ac:dyDescent="0.25">
      <c r="A48" s="41"/>
      <c r="B48" s="42" t="s">
        <v>40</v>
      </c>
      <c r="C48" s="41" t="s">
        <v>62</v>
      </c>
      <c r="D48" s="76">
        <v>35000</v>
      </c>
      <c r="E48" s="78">
        <f>E43*2</f>
        <v>396</v>
      </c>
      <c r="F48" s="78">
        <f t="shared" si="16"/>
        <v>13860000</v>
      </c>
      <c r="G48" s="78"/>
      <c r="H48" s="78">
        <f t="shared" si="29"/>
        <v>0</v>
      </c>
      <c r="I48" s="78">
        <f>I43*2</f>
        <v>396</v>
      </c>
      <c r="J48" s="78">
        <f t="shared" si="25"/>
        <v>14691600</v>
      </c>
      <c r="K48" s="78"/>
      <c r="L48" s="78">
        <f t="shared" si="26"/>
        <v>0</v>
      </c>
      <c r="M48" s="78">
        <f>M43*2</f>
        <v>396</v>
      </c>
      <c r="N48" s="78">
        <f t="shared" si="27"/>
        <v>15523200</v>
      </c>
      <c r="O48" s="78">
        <f t="shared" si="28"/>
        <v>44074800</v>
      </c>
    </row>
    <row r="49" spans="1:15" x14ac:dyDescent="0.25">
      <c r="A49" s="41"/>
      <c r="B49" s="42" t="s">
        <v>41</v>
      </c>
      <c r="C49" s="41" t="s">
        <v>61</v>
      </c>
      <c r="D49" s="76">
        <v>75000</v>
      </c>
      <c r="E49" s="78">
        <f>E43</f>
        <v>198</v>
      </c>
      <c r="F49" s="78">
        <f t="shared" si="16"/>
        <v>14850000</v>
      </c>
      <c r="G49" s="78"/>
      <c r="H49" s="78">
        <f t="shared" si="29"/>
        <v>0</v>
      </c>
      <c r="I49" s="78">
        <f>I43</f>
        <v>198</v>
      </c>
      <c r="J49" s="78">
        <f t="shared" si="25"/>
        <v>15741000</v>
      </c>
      <c r="K49" s="78"/>
      <c r="L49" s="78">
        <f t="shared" si="26"/>
        <v>0</v>
      </c>
      <c r="M49" s="78">
        <f>M43</f>
        <v>198</v>
      </c>
      <c r="N49" s="78">
        <f t="shared" si="27"/>
        <v>16632000</v>
      </c>
      <c r="O49" s="78">
        <f t="shared" si="28"/>
        <v>47223000</v>
      </c>
    </row>
    <row r="50" spans="1:15" x14ac:dyDescent="0.25">
      <c r="A50" s="41"/>
      <c r="B50" s="42" t="s">
        <v>111</v>
      </c>
      <c r="C50" s="41" t="s">
        <v>61</v>
      </c>
      <c r="D50" s="76">
        <v>90000</v>
      </c>
      <c r="E50" s="78">
        <f>E43</f>
        <v>198</v>
      </c>
      <c r="F50" s="78">
        <f t="shared" si="16"/>
        <v>17820000</v>
      </c>
      <c r="G50" s="78"/>
      <c r="H50" s="78">
        <f t="shared" si="29"/>
        <v>0</v>
      </c>
      <c r="I50" s="78"/>
      <c r="J50" s="78">
        <f t="shared" si="25"/>
        <v>0</v>
      </c>
      <c r="K50" s="78">
        <f>K43</f>
        <v>198</v>
      </c>
      <c r="L50" s="78">
        <f t="shared" si="26"/>
        <v>19423800</v>
      </c>
      <c r="M50" s="78"/>
      <c r="N50" s="78">
        <f t="shared" si="27"/>
        <v>0</v>
      </c>
      <c r="O50" s="78">
        <f t="shared" si="28"/>
        <v>37243800</v>
      </c>
    </row>
    <row r="51" spans="1:15" s="10" customFormat="1" ht="28.5" customHeight="1" x14ac:dyDescent="0.25">
      <c r="A51" s="11" t="s">
        <v>50</v>
      </c>
      <c r="B51" s="11" t="s">
        <v>51</v>
      </c>
      <c r="C51" s="11"/>
      <c r="D51" s="74"/>
      <c r="E51" s="75">
        <f>'PL1'!M7</f>
        <v>28</v>
      </c>
      <c r="F51" s="75">
        <f>SUBTOTAL(9,F52:F88)</f>
        <v>119304000</v>
      </c>
      <c r="G51" s="75">
        <f>E51</f>
        <v>28</v>
      </c>
      <c r="H51" s="75">
        <f>SUBTOTAL(9,H52:H88)</f>
        <v>65191790</v>
      </c>
      <c r="I51" s="75">
        <f>G51</f>
        <v>28</v>
      </c>
      <c r="J51" s="75">
        <f>SUBTOTAL(9,J52:J88)</f>
        <v>93918120</v>
      </c>
      <c r="K51" s="75">
        <f>I51</f>
        <v>28</v>
      </c>
      <c r="L51" s="75">
        <f>SUBTOTAL(9,L52:L88)</f>
        <v>69425370</v>
      </c>
      <c r="M51" s="75">
        <f>K51</f>
        <v>28</v>
      </c>
      <c r="N51" s="75">
        <f>SUBTOTAL(9,N52:N88)</f>
        <v>133228480</v>
      </c>
      <c r="O51" s="75">
        <f>SUBTOTAL(9,O52:O88)</f>
        <v>481067760</v>
      </c>
    </row>
    <row r="52" spans="1:15" s="10" customFormat="1" x14ac:dyDescent="0.25">
      <c r="A52" s="11">
        <v>1</v>
      </c>
      <c r="B52" s="12" t="s">
        <v>327</v>
      </c>
      <c r="C52" s="11"/>
      <c r="D52" s="74"/>
      <c r="E52" s="75">
        <f>'PL1'!N7*12+'PL1'!O7</f>
        <v>1</v>
      </c>
      <c r="F52" s="75">
        <f>SUBTOTAL(9,F53:F70)</f>
        <v>4527000</v>
      </c>
      <c r="G52" s="75">
        <f>E52</f>
        <v>1</v>
      </c>
      <c r="H52" s="75">
        <f>SUBTOTAL(9,H53:H70)</f>
        <v>2369000</v>
      </c>
      <c r="I52" s="75">
        <f>E52</f>
        <v>1</v>
      </c>
      <c r="J52" s="75">
        <f>SUBTOTAL(9,J53:J70)</f>
        <v>3278580</v>
      </c>
      <c r="K52" s="75">
        <f>E52</f>
        <v>1</v>
      </c>
      <c r="L52" s="75">
        <f>SUBTOTAL(9,L53:L70)</f>
        <v>2943000</v>
      </c>
      <c r="M52" s="75">
        <f>E52</f>
        <v>1</v>
      </c>
      <c r="N52" s="75">
        <f>SUBTOTAL(9,N53:N70)</f>
        <v>4678240</v>
      </c>
      <c r="O52" s="75">
        <f>SUBTOTAL(9,O53:O70)</f>
        <v>17795820</v>
      </c>
    </row>
    <row r="53" spans="1:15" x14ac:dyDescent="0.25">
      <c r="A53" s="41"/>
      <c r="B53" s="42" t="s">
        <v>37</v>
      </c>
      <c r="C53" s="41" t="s">
        <v>60</v>
      </c>
      <c r="D53" s="76">
        <v>700000</v>
      </c>
      <c r="E53" s="78">
        <f>E52</f>
        <v>1</v>
      </c>
      <c r="F53" s="78">
        <f t="shared" ref="F53:F96" si="30">E53*D53</f>
        <v>700000</v>
      </c>
      <c r="G53" s="78">
        <f>G52</f>
        <v>1</v>
      </c>
      <c r="H53" s="78">
        <f t="shared" ref="H53:H70" si="31">G53*(D53+D53*3%)</f>
        <v>721000</v>
      </c>
      <c r="I53" s="78">
        <f>I52</f>
        <v>1</v>
      </c>
      <c r="J53" s="78">
        <f t="shared" ref="J53:J70" si="32">I53*(D53+D53*6%)</f>
        <v>742000</v>
      </c>
      <c r="K53" s="78">
        <f>K52</f>
        <v>1</v>
      </c>
      <c r="L53" s="78">
        <f t="shared" ref="L53:L70" si="33">K53*(D53+D53*9%)</f>
        <v>763000</v>
      </c>
      <c r="M53" s="78">
        <f>M52</f>
        <v>1</v>
      </c>
      <c r="N53" s="78">
        <f t="shared" ref="N53:N70" si="34">M53*(D53+D53*12%)</f>
        <v>784000</v>
      </c>
      <c r="O53" s="78">
        <f t="shared" ref="O53:O70" si="35">F53+H53+J53+L53+N53</f>
        <v>3710000</v>
      </c>
    </row>
    <row r="54" spans="1:15" x14ac:dyDescent="0.25">
      <c r="A54" s="41"/>
      <c r="B54" s="42" t="s">
        <v>282</v>
      </c>
      <c r="C54" s="41" t="s">
        <v>61</v>
      </c>
      <c r="D54" s="76">
        <v>155000</v>
      </c>
      <c r="E54" s="78">
        <f>E52</f>
        <v>1</v>
      </c>
      <c r="F54" s="78">
        <f t="shared" si="30"/>
        <v>155000</v>
      </c>
      <c r="G54" s="78"/>
      <c r="H54" s="78">
        <f t="shared" si="31"/>
        <v>0</v>
      </c>
      <c r="I54" s="78">
        <f>I52</f>
        <v>1</v>
      </c>
      <c r="J54" s="78">
        <f t="shared" si="32"/>
        <v>164300</v>
      </c>
      <c r="K54" s="78"/>
      <c r="L54" s="78">
        <f t="shared" si="33"/>
        <v>0</v>
      </c>
      <c r="M54" s="78">
        <f>M52</f>
        <v>1</v>
      </c>
      <c r="N54" s="78">
        <f t="shared" si="34"/>
        <v>173600</v>
      </c>
      <c r="O54" s="78">
        <f t="shared" si="35"/>
        <v>492900</v>
      </c>
    </row>
    <row r="55" spans="1:15" x14ac:dyDescent="0.25">
      <c r="A55" s="41"/>
      <c r="B55" s="42" t="s">
        <v>249</v>
      </c>
      <c r="C55" s="41" t="s">
        <v>61</v>
      </c>
      <c r="D55" s="76">
        <v>78000</v>
      </c>
      <c r="E55" s="78">
        <f>E52</f>
        <v>1</v>
      </c>
      <c r="F55" s="78">
        <f t="shared" si="30"/>
        <v>78000</v>
      </c>
      <c r="G55" s="78"/>
      <c r="H55" s="78">
        <f t="shared" si="31"/>
        <v>0</v>
      </c>
      <c r="I55" s="78">
        <f>I52</f>
        <v>1</v>
      </c>
      <c r="J55" s="78">
        <f t="shared" si="32"/>
        <v>82680</v>
      </c>
      <c r="K55" s="78"/>
      <c r="L55" s="78">
        <f t="shared" si="33"/>
        <v>0</v>
      </c>
      <c r="M55" s="78">
        <f>M52</f>
        <v>1</v>
      </c>
      <c r="N55" s="78">
        <f t="shared" si="34"/>
        <v>87360</v>
      </c>
      <c r="O55" s="78">
        <f t="shared" si="35"/>
        <v>248040</v>
      </c>
    </row>
    <row r="56" spans="1:15" x14ac:dyDescent="0.25">
      <c r="A56" s="41"/>
      <c r="B56" s="42" t="s">
        <v>38</v>
      </c>
      <c r="C56" s="41" t="s">
        <v>62</v>
      </c>
      <c r="D56" s="76">
        <v>490000</v>
      </c>
      <c r="E56" s="78">
        <f>E52</f>
        <v>1</v>
      </c>
      <c r="F56" s="78">
        <f t="shared" si="30"/>
        <v>490000</v>
      </c>
      <c r="G56" s="78">
        <f>G52</f>
        <v>1</v>
      </c>
      <c r="H56" s="78">
        <f t="shared" si="31"/>
        <v>504700</v>
      </c>
      <c r="I56" s="78">
        <f>I52</f>
        <v>1</v>
      </c>
      <c r="J56" s="78">
        <f t="shared" si="32"/>
        <v>519400</v>
      </c>
      <c r="K56" s="78">
        <f>K52</f>
        <v>1</v>
      </c>
      <c r="L56" s="78">
        <f t="shared" si="33"/>
        <v>534100</v>
      </c>
      <c r="M56" s="78">
        <f>M52</f>
        <v>1</v>
      </c>
      <c r="N56" s="78">
        <f t="shared" si="34"/>
        <v>548800</v>
      </c>
      <c r="O56" s="78">
        <f t="shared" si="35"/>
        <v>2597000</v>
      </c>
    </row>
    <row r="57" spans="1:15" x14ac:dyDescent="0.25">
      <c r="A57" s="41"/>
      <c r="B57" s="42" t="s">
        <v>39</v>
      </c>
      <c r="C57" s="41" t="s">
        <v>62</v>
      </c>
      <c r="D57" s="76">
        <v>175000</v>
      </c>
      <c r="E57" s="78">
        <f>E52</f>
        <v>1</v>
      </c>
      <c r="F57" s="78">
        <f t="shared" si="30"/>
        <v>175000</v>
      </c>
      <c r="G57" s="78">
        <f>G52</f>
        <v>1</v>
      </c>
      <c r="H57" s="78">
        <f t="shared" si="31"/>
        <v>180250</v>
      </c>
      <c r="I57" s="78">
        <f>I52</f>
        <v>1</v>
      </c>
      <c r="J57" s="78">
        <f t="shared" si="32"/>
        <v>185500</v>
      </c>
      <c r="K57" s="78">
        <f>K52</f>
        <v>1</v>
      </c>
      <c r="L57" s="78">
        <f t="shared" si="33"/>
        <v>190750</v>
      </c>
      <c r="M57" s="78">
        <f>M52</f>
        <v>1</v>
      </c>
      <c r="N57" s="78">
        <f t="shared" si="34"/>
        <v>196000</v>
      </c>
      <c r="O57" s="78">
        <f t="shared" si="35"/>
        <v>927500</v>
      </c>
    </row>
    <row r="58" spans="1:15" x14ac:dyDescent="0.25">
      <c r="A58" s="41"/>
      <c r="B58" s="42" t="s">
        <v>40</v>
      </c>
      <c r="C58" s="41" t="s">
        <v>62</v>
      </c>
      <c r="D58" s="76">
        <v>35000</v>
      </c>
      <c r="E58" s="78">
        <f>E52*2</f>
        <v>2</v>
      </c>
      <c r="F58" s="78">
        <f t="shared" si="30"/>
        <v>70000</v>
      </c>
      <c r="G58" s="78">
        <f>G52*2</f>
        <v>2</v>
      </c>
      <c r="H58" s="78">
        <f t="shared" si="31"/>
        <v>72100</v>
      </c>
      <c r="I58" s="78">
        <f>I52*2</f>
        <v>2</v>
      </c>
      <c r="J58" s="78">
        <f t="shared" si="32"/>
        <v>74200</v>
      </c>
      <c r="K58" s="78">
        <f>K52*2</f>
        <v>2</v>
      </c>
      <c r="L58" s="78">
        <f t="shared" si="33"/>
        <v>76300</v>
      </c>
      <c r="M58" s="78">
        <f>M52*2</f>
        <v>2</v>
      </c>
      <c r="N58" s="78">
        <f t="shared" si="34"/>
        <v>78400</v>
      </c>
      <c r="O58" s="78">
        <f t="shared" si="35"/>
        <v>371000</v>
      </c>
    </row>
    <row r="59" spans="1:15" x14ac:dyDescent="0.25">
      <c r="A59" s="41"/>
      <c r="B59" s="42" t="s">
        <v>41</v>
      </c>
      <c r="C59" s="41" t="s">
        <v>61</v>
      </c>
      <c r="D59" s="76">
        <v>75000</v>
      </c>
      <c r="E59" s="78">
        <f>E52</f>
        <v>1</v>
      </c>
      <c r="F59" s="78">
        <f t="shared" si="30"/>
        <v>75000</v>
      </c>
      <c r="G59" s="78">
        <f>G52</f>
        <v>1</v>
      </c>
      <c r="H59" s="78">
        <f t="shared" si="31"/>
        <v>77250</v>
      </c>
      <c r="I59" s="78">
        <f>I52</f>
        <v>1</v>
      </c>
      <c r="J59" s="78">
        <f t="shared" si="32"/>
        <v>79500</v>
      </c>
      <c r="K59" s="78">
        <f>K52</f>
        <v>1</v>
      </c>
      <c r="L59" s="78">
        <f t="shared" si="33"/>
        <v>81750</v>
      </c>
      <c r="M59" s="78">
        <f>M52</f>
        <v>1</v>
      </c>
      <c r="N59" s="78">
        <f t="shared" si="34"/>
        <v>84000</v>
      </c>
      <c r="O59" s="78">
        <f t="shared" si="35"/>
        <v>397500</v>
      </c>
    </row>
    <row r="60" spans="1:15" x14ac:dyDescent="0.25">
      <c r="A60" s="41"/>
      <c r="B60" s="42" t="s">
        <v>42</v>
      </c>
      <c r="C60" s="41" t="s">
        <v>60</v>
      </c>
      <c r="D60" s="76">
        <v>350000</v>
      </c>
      <c r="E60" s="78">
        <f>E52</f>
        <v>1</v>
      </c>
      <c r="F60" s="78">
        <f t="shared" si="30"/>
        <v>350000</v>
      </c>
      <c r="G60" s="78"/>
      <c r="H60" s="78">
        <f t="shared" si="31"/>
        <v>0</v>
      </c>
      <c r="I60" s="78"/>
      <c r="J60" s="78">
        <f t="shared" si="32"/>
        <v>0</v>
      </c>
      <c r="K60" s="78">
        <f>K52</f>
        <v>1</v>
      </c>
      <c r="L60" s="78">
        <f t="shared" si="33"/>
        <v>381500</v>
      </c>
      <c r="M60" s="78"/>
      <c r="N60" s="78">
        <f t="shared" si="34"/>
        <v>0</v>
      </c>
      <c r="O60" s="78">
        <f t="shared" si="35"/>
        <v>731500</v>
      </c>
    </row>
    <row r="61" spans="1:15" x14ac:dyDescent="0.25">
      <c r="A61" s="41"/>
      <c r="B61" s="42" t="s">
        <v>112</v>
      </c>
      <c r="C61" s="41" t="s">
        <v>61</v>
      </c>
      <c r="D61" s="76">
        <v>58000</v>
      </c>
      <c r="E61" s="78">
        <f>E52*2</f>
        <v>2</v>
      </c>
      <c r="F61" s="78">
        <f t="shared" si="30"/>
        <v>116000</v>
      </c>
      <c r="G61" s="78">
        <f>G52*2</f>
        <v>2</v>
      </c>
      <c r="H61" s="78">
        <f t="shared" si="31"/>
        <v>119480</v>
      </c>
      <c r="I61" s="78">
        <f>I52*2</f>
        <v>2</v>
      </c>
      <c r="J61" s="78">
        <f t="shared" si="32"/>
        <v>122960</v>
      </c>
      <c r="K61" s="78">
        <f>K52*2</f>
        <v>2</v>
      </c>
      <c r="L61" s="78">
        <f t="shared" si="33"/>
        <v>126440</v>
      </c>
      <c r="M61" s="78">
        <f>M52*2</f>
        <v>2</v>
      </c>
      <c r="N61" s="78">
        <f t="shared" si="34"/>
        <v>129920</v>
      </c>
      <c r="O61" s="78">
        <f t="shared" si="35"/>
        <v>614800</v>
      </c>
    </row>
    <row r="62" spans="1:15" x14ac:dyDescent="0.25">
      <c r="A62" s="41"/>
      <c r="B62" s="42" t="s">
        <v>113</v>
      </c>
      <c r="C62" s="41" t="s">
        <v>61</v>
      </c>
      <c r="D62" s="76">
        <v>80000</v>
      </c>
      <c r="E62" s="78">
        <f>E52*2</f>
        <v>2</v>
      </c>
      <c r="F62" s="78">
        <f t="shared" si="30"/>
        <v>160000</v>
      </c>
      <c r="G62" s="78">
        <f>G52*2</f>
        <v>2</v>
      </c>
      <c r="H62" s="78">
        <f t="shared" si="31"/>
        <v>164800</v>
      </c>
      <c r="I62" s="78">
        <f>I52*2</f>
        <v>2</v>
      </c>
      <c r="J62" s="78">
        <f t="shared" si="32"/>
        <v>169600</v>
      </c>
      <c r="K62" s="78">
        <f>K52*2</f>
        <v>2</v>
      </c>
      <c r="L62" s="78">
        <f t="shared" si="33"/>
        <v>174400</v>
      </c>
      <c r="M62" s="78">
        <f>M52*2</f>
        <v>2</v>
      </c>
      <c r="N62" s="78">
        <f t="shared" si="34"/>
        <v>179200</v>
      </c>
      <c r="O62" s="78">
        <f t="shared" si="35"/>
        <v>848000</v>
      </c>
    </row>
    <row r="63" spans="1:15" x14ac:dyDescent="0.25">
      <c r="A63" s="41"/>
      <c r="B63" s="42" t="s">
        <v>114</v>
      </c>
      <c r="C63" s="41" t="s">
        <v>61</v>
      </c>
      <c r="D63" s="76">
        <v>50000</v>
      </c>
      <c r="E63" s="78">
        <f>E52*2</f>
        <v>2</v>
      </c>
      <c r="F63" s="78">
        <f t="shared" si="30"/>
        <v>100000</v>
      </c>
      <c r="G63" s="78">
        <f>G52</f>
        <v>1</v>
      </c>
      <c r="H63" s="78">
        <f t="shared" si="31"/>
        <v>51500</v>
      </c>
      <c r="I63" s="78">
        <f>I52*2</f>
        <v>2</v>
      </c>
      <c r="J63" s="78">
        <f t="shared" si="32"/>
        <v>106000</v>
      </c>
      <c r="K63" s="78">
        <f>K52*2</f>
        <v>2</v>
      </c>
      <c r="L63" s="78">
        <f t="shared" si="33"/>
        <v>109000</v>
      </c>
      <c r="M63" s="78">
        <f>M52*2</f>
        <v>2</v>
      </c>
      <c r="N63" s="78">
        <f t="shared" si="34"/>
        <v>112000</v>
      </c>
      <c r="O63" s="78">
        <f t="shared" si="35"/>
        <v>478500</v>
      </c>
    </row>
    <row r="64" spans="1:15" x14ac:dyDescent="0.25">
      <c r="A64" s="41"/>
      <c r="B64" s="42" t="s">
        <v>93</v>
      </c>
      <c r="C64" s="41" t="s">
        <v>61</v>
      </c>
      <c r="D64" s="76">
        <v>280000</v>
      </c>
      <c r="E64" s="78">
        <f>E52</f>
        <v>1</v>
      </c>
      <c r="F64" s="78">
        <f t="shared" si="30"/>
        <v>280000</v>
      </c>
      <c r="G64" s="78"/>
      <c r="H64" s="78">
        <f t="shared" si="31"/>
        <v>0</v>
      </c>
      <c r="I64" s="78">
        <f>I52</f>
        <v>1</v>
      </c>
      <c r="J64" s="78">
        <f t="shared" si="32"/>
        <v>296800</v>
      </c>
      <c r="K64" s="78"/>
      <c r="L64" s="78">
        <f t="shared" si="33"/>
        <v>0</v>
      </c>
      <c r="M64" s="78">
        <f>M52</f>
        <v>1</v>
      </c>
      <c r="N64" s="78">
        <f t="shared" si="34"/>
        <v>313600</v>
      </c>
      <c r="O64" s="78">
        <f t="shared" si="35"/>
        <v>890400</v>
      </c>
    </row>
    <row r="65" spans="1:15" x14ac:dyDescent="0.25">
      <c r="A65" s="41"/>
      <c r="B65" s="42" t="s">
        <v>94</v>
      </c>
      <c r="C65" s="41" t="s">
        <v>61</v>
      </c>
      <c r="D65" s="76">
        <v>150000</v>
      </c>
      <c r="E65" s="78">
        <f>E52</f>
        <v>1</v>
      </c>
      <c r="F65" s="78">
        <f t="shared" si="30"/>
        <v>150000</v>
      </c>
      <c r="G65" s="78"/>
      <c r="H65" s="78">
        <f t="shared" si="31"/>
        <v>0</v>
      </c>
      <c r="I65" s="78">
        <f>I52</f>
        <v>1</v>
      </c>
      <c r="J65" s="78">
        <f t="shared" si="32"/>
        <v>159000</v>
      </c>
      <c r="K65" s="78"/>
      <c r="L65" s="78">
        <f t="shared" si="33"/>
        <v>0</v>
      </c>
      <c r="M65" s="78">
        <f>M52</f>
        <v>1</v>
      </c>
      <c r="N65" s="78">
        <f t="shared" si="34"/>
        <v>168000</v>
      </c>
      <c r="O65" s="78">
        <f t="shared" si="35"/>
        <v>477000</v>
      </c>
    </row>
    <row r="66" spans="1:15" x14ac:dyDescent="0.25">
      <c r="A66" s="41"/>
      <c r="B66" s="42" t="s">
        <v>95</v>
      </c>
      <c r="C66" s="41" t="s">
        <v>61</v>
      </c>
      <c r="D66" s="76">
        <v>80000</v>
      </c>
      <c r="E66" s="78">
        <f>E52</f>
        <v>1</v>
      </c>
      <c r="F66" s="78">
        <f t="shared" si="30"/>
        <v>80000</v>
      </c>
      <c r="G66" s="78"/>
      <c r="H66" s="78">
        <f t="shared" si="31"/>
        <v>0</v>
      </c>
      <c r="I66" s="78">
        <f>I52</f>
        <v>1</v>
      </c>
      <c r="J66" s="78">
        <f t="shared" si="32"/>
        <v>84800</v>
      </c>
      <c r="K66" s="78"/>
      <c r="L66" s="78">
        <f t="shared" si="33"/>
        <v>0</v>
      </c>
      <c r="M66" s="78">
        <f>M52</f>
        <v>1</v>
      </c>
      <c r="N66" s="78">
        <f t="shared" si="34"/>
        <v>89600</v>
      </c>
      <c r="O66" s="78">
        <f t="shared" si="35"/>
        <v>254400</v>
      </c>
    </row>
    <row r="67" spans="1:15" x14ac:dyDescent="0.25">
      <c r="A67" s="41"/>
      <c r="B67" s="42" t="s">
        <v>80</v>
      </c>
      <c r="C67" s="41" t="s">
        <v>61</v>
      </c>
      <c r="D67" s="76">
        <v>84000</v>
      </c>
      <c r="E67" s="78">
        <f>E52</f>
        <v>1</v>
      </c>
      <c r="F67" s="78">
        <f t="shared" si="30"/>
        <v>84000</v>
      </c>
      <c r="G67" s="78">
        <f>G52</f>
        <v>1</v>
      </c>
      <c r="H67" s="78">
        <f t="shared" si="31"/>
        <v>86520</v>
      </c>
      <c r="I67" s="78">
        <f>I52</f>
        <v>1</v>
      </c>
      <c r="J67" s="78">
        <f t="shared" si="32"/>
        <v>89040</v>
      </c>
      <c r="K67" s="78">
        <f>K52</f>
        <v>1</v>
      </c>
      <c r="L67" s="78">
        <f t="shared" si="33"/>
        <v>91560</v>
      </c>
      <c r="M67" s="78">
        <f>M52</f>
        <v>1</v>
      </c>
      <c r="N67" s="78">
        <f t="shared" si="34"/>
        <v>94080</v>
      </c>
      <c r="O67" s="78">
        <f t="shared" si="35"/>
        <v>445200</v>
      </c>
    </row>
    <row r="68" spans="1:15" x14ac:dyDescent="0.25">
      <c r="A68" s="41"/>
      <c r="B68" s="42" t="s">
        <v>283</v>
      </c>
      <c r="C68" s="41" t="s">
        <v>61</v>
      </c>
      <c r="D68" s="76">
        <v>800000</v>
      </c>
      <c r="E68" s="78">
        <f>E52</f>
        <v>1</v>
      </c>
      <c r="F68" s="78">
        <f t="shared" si="30"/>
        <v>800000</v>
      </c>
      <c r="G68" s="78"/>
      <c r="H68" s="78">
        <f t="shared" si="31"/>
        <v>0</v>
      </c>
      <c r="I68" s="78"/>
      <c r="J68" s="78">
        <f t="shared" si="32"/>
        <v>0</v>
      </c>
      <c r="K68" s="78"/>
      <c r="L68" s="78">
        <f t="shared" si="33"/>
        <v>0</v>
      </c>
      <c r="M68" s="78">
        <f>M52</f>
        <v>1</v>
      </c>
      <c r="N68" s="78">
        <f t="shared" si="34"/>
        <v>896000</v>
      </c>
      <c r="O68" s="78">
        <f t="shared" si="35"/>
        <v>1696000</v>
      </c>
    </row>
    <row r="69" spans="1:15" x14ac:dyDescent="0.25">
      <c r="A69" s="41"/>
      <c r="B69" s="42" t="s">
        <v>110</v>
      </c>
      <c r="C69" s="41" t="s">
        <v>61</v>
      </c>
      <c r="D69" s="76">
        <v>284000</v>
      </c>
      <c r="E69" s="78">
        <f>E52</f>
        <v>1</v>
      </c>
      <c r="F69" s="78">
        <f t="shared" si="30"/>
        <v>284000</v>
      </c>
      <c r="G69" s="78"/>
      <c r="H69" s="78">
        <f t="shared" si="31"/>
        <v>0</v>
      </c>
      <c r="I69" s="78"/>
      <c r="J69" s="78">
        <f t="shared" si="32"/>
        <v>0</v>
      </c>
      <c r="K69" s="78"/>
      <c r="L69" s="78">
        <f t="shared" si="33"/>
        <v>0</v>
      </c>
      <c r="M69" s="78">
        <f>M52</f>
        <v>1</v>
      </c>
      <c r="N69" s="78">
        <f t="shared" si="34"/>
        <v>318080</v>
      </c>
      <c r="O69" s="78">
        <f t="shared" si="35"/>
        <v>602080</v>
      </c>
    </row>
    <row r="70" spans="1:15" x14ac:dyDescent="0.25">
      <c r="A70" s="41"/>
      <c r="B70" s="42" t="s">
        <v>74</v>
      </c>
      <c r="C70" s="41" t="s">
        <v>61</v>
      </c>
      <c r="D70" s="76">
        <v>380000</v>
      </c>
      <c r="E70" s="78">
        <f>E52</f>
        <v>1</v>
      </c>
      <c r="F70" s="78">
        <f t="shared" si="30"/>
        <v>380000</v>
      </c>
      <c r="G70" s="78">
        <f>G52</f>
        <v>1</v>
      </c>
      <c r="H70" s="78">
        <f t="shared" si="31"/>
        <v>391400</v>
      </c>
      <c r="I70" s="78">
        <f>I52</f>
        <v>1</v>
      </c>
      <c r="J70" s="78">
        <f t="shared" si="32"/>
        <v>402800</v>
      </c>
      <c r="K70" s="78">
        <f>K52</f>
        <v>1</v>
      </c>
      <c r="L70" s="78">
        <f t="shared" si="33"/>
        <v>414200</v>
      </c>
      <c r="M70" s="78">
        <f>M52</f>
        <v>1</v>
      </c>
      <c r="N70" s="78">
        <f t="shared" si="34"/>
        <v>425600</v>
      </c>
      <c r="O70" s="78">
        <f t="shared" si="35"/>
        <v>2014000</v>
      </c>
    </row>
    <row r="71" spans="1:15" s="10" customFormat="1" ht="21" customHeight="1" x14ac:dyDescent="0.25">
      <c r="A71" s="11">
        <v>2</v>
      </c>
      <c r="B71" s="12" t="s">
        <v>194</v>
      </c>
      <c r="C71" s="11"/>
      <c r="D71" s="74"/>
      <c r="E71" s="75">
        <f>'PL1'!M7-E52</f>
        <v>27</v>
      </c>
      <c r="F71" s="75">
        <f>SUBTOTAL(9,F72:F88)</f>
        <v>114777000</v>
      </c>
      <c r="G71" s="75">
        <f>E71</f>
        <v>27</v>
      </c>
      <c r="H71" s="75">
        <f>SUBTOTAL(9,H72:H88)</f>
        <v>62822790</v>
      </c>
      <c r="I71" s="75">
        <f>E71</f>
        <v>27</v>
      </c>
      <c r="J71" s="75">
        <f>SUBTOTAL(9,J72:J88)</f>
        <v>90639540</v>
      </c>
      <c r="K71" s="75">
        <f>E71</f>
        <v>27</v>
      </c>
      <c r="L71" s="75">
        <f>SUBTOTAL(9,L72:L88)</f>
        <v>66482370</v>
      </c>
      <c r="M71" s="75">
        <f>E71</f>
        <v>27</v>
      </c>
      <c r="N71" s="75">
        <f>SUBTOTAL(9,N72:N88)</f>
        <v>128550240</v>
      </c>
      <c r="O71" s="75">
        <f>SUBTOTAL(9,O72:O88)</f>
        <v>463271940</v>
      </c>
    </row>
    <row r="72" spans="1:15" x14ac:dyDescent="0.25">
      <c r="A72" s="41"/>
      <c r="B72" s="42" t="s">
        <v>37</v>
      </c>
      <c r="C72" s="41" t="s">
        <v>60</v>
      </c>
      <c r="D72" s="76">
        <v>517000</v>
      </c>
      <c r="E72" s="78">
        <f>$E$71*2</f>
        <v>54</v>
      </c>
      <c r="F72" s="78">
        <f t="shared" si="30"/>
        <v>27918000</v>
      </c>
      <c r="G72" s="78">
        <f>G71*2</f>
        <v>54</v>
      </c>
      <c r="H72" s="78">
        <f t="shared" ref="H72:H88" si="36">G72*(D72+D72*3%)</f>
        <v>28755540</v>
      </c>
      <c r="I72" s="78">
        <f>$I$71*2</f>
        <v>54</v>
      </c>
      <c r="J72" s="78">
        <f t="shared" ref="J72:J88" si="37">I72*(D72+D72*6%)</f>
        <v>29593080</v>
      </c>
      <c r="K72" s="78">
        <f>$K$71*2</f>
        <v>54</v>
      </c>
      <c r="L72" s="78">
        <f t="shared" ref="L72:L88" si="38">K72*(D72+D72*9%)</f>
        <v>30430620</v>
      </c>
      <c r="M72" s="78">
        <f>$M$71*2</f>
        <v>54</v>
      </c>
      <c r="N72" s="78">
        <f t="shared" ref="N72:N88" si="39">M72*(D72+D72*12%)</f>
        <v>31268160</v>
      </c>
      <c r="O72" s="78">
        <f t="shared" ref="O72:O88" si="40">F72+H72+J72+L72+N72</f>
        <v>147965400</v>
      </c>
    </row>
    <row r="73" spans="1:15" x14ac:dyDescent="0.25">
      <c r="A73" s="41"/>
      <c r="B73" s="42" t="s">
        <v>282</v>
      </c>
      <c r="C73" s="41" t="s">
        <v>61</v>
      </c>
      <c r="D73" s="76">
        <v>155000</v>
      </c>
      <c r="E73" s="78">
        <f>$E$71</f>
        <v>27</v>
      </c>
      <c r="F73" s="78">
        <f t="shared" si="30"/>
        <v>4185000</v>
      </c>
      <c r="G73" s="78"/>
      <c r="H73" s="78">
        <f t="shared" si="36"/>
        <v>0</v>
      </c>
      <c r="I73" s="78">
        <f>$I$71</f>
        <v>27</v>
      </c>
      <c r="J73" s="78">
        <f t="shared" si="37"/>
        <v>4436100</v>
      </c>
      <c r="K73" s="78"/>
      <c r="L73" s="78">
        <f t="shared" si="38"/>
        <v>0</v>
      </c>
      <c r="M73" s="78">
        <f>$M$71</f>
        <v>27</v>
      </c>
      <c r="N73" s="78">
        <f t="shared" si="39"/>
        <v>4687200</v>
      </c>
      <c r="O73" s="78">
        <f t="shared" si="40"/>
        <v>13308300</v>
      </c>
    </row>
    <row r="74" spans="1:15" x14ac:dyDescent="0.25">
      <c r="A74" s="41"/>
      <c r="B74" s="42" t="s">
        <v>249</v>
      </c>
      <c r="C74" s="41" t="s">
        <v>61</v>
      </c>
      <c r="D74" s="76">
        <v>78000</v>
      </c>
      <c r="E74" s="78">
        <f>$E$71</f>
        <v>27</v>
      </c>
      <c r="F74" s="78">
        <f t="shared" si="30"/>
        <v>2106000</v>
      </c>
      <c r="G74" s="78"/>
      <c r="H74" s="78">
        <f t="shared" si="36"/>
        <v>0</v>
      </c>
      <c r="I74" s="78">
        <f>$I$71</f>
        <v>27</v>
      </c>
      <c r="J74" s="78">
        <f t="shared" si="37"/>
        <v>2232360</v>
      </c>
      <c r="K74" s="78"/>
      <c r="L74" s="78">
        <f t="shared" si="38"/>
        <v>0</v>
      </c>
      <c r="M74" s="78">
        <f>$M$71</f>
        <v>27</v>
      </c>
      <c r="N74" s="78">
        <f t="shared" si="39"/>
        <v>2358720</v>
      </c>
      <c r="O74" s="78">
        <f t="shared" si="40"/>
        <v>6697080</v>
      </c>
    </row>
    <row r="75" spans="1:15" x14ac:dyDescent="0.25">
      <c r="A75" s="41"/>
      <c r="B75" s="42" t="s">
        <v>39</v>
      </c>
      <c r="C75" s="41" t="s">
        <v>62</v>
      </c>
      <c r="D75" s="76">
        <v>175000</v>
      </c>
      <c r="E75" s="78">
        <f>$E$71*2</f>
        <v>54</v>
      </c>
      <c r="F75" s="78">
        <f t="shared" si="30"/>
        <v>9450000</v>
      </c>
      <c r="G75" s="78">
        <f>G71*2</f>
        <v>54</v>
      </c>
      <c r="H75" s="78">
        <f t="shared" si="36"/>
        <v>9733500</v>
      </c>
      <c r="I75" s="78">
        <f>$I$71*2</f>
        <v>54</v>
      </c>
      <c r="J75" s="78">
        <f t="shared" si="37"/>
        <v>10017000</v>
      </c>
      <c r="K75" s="78">
        <f>$K$71*2</f>
        <v>54</v>
      </c>
      <c r="L75" s="78">
        <f t="shared" si="38"/>
        <v>10300500</v>
      </c>
      <c r="M75" s="78">
        <f>$M$71*2</f>
        <v>54</v>
      </c>
      <c r="N75" s="78">
        <f t="shared" si="39"/>
        <v>10584000</v>
      </c>
      <c r="O75" s="78">
        <f t="shared" si="40"/>
        <v>50085000</v>
      </c>
    </row>
    <row r="76" spans="1:15" x14ac:dyDescent="0.25">
      <c r="A76" s="41"/>
      <c r="B76" s="42" t="s">
        <v>40</v>
      </c>
      <c r="C76" s="41" t="s">
        <v>62</v>
      </c>
      <c r="D76" s="76">
        <v>35000</v>
      </c>
      <c r="E76" s="78">
        <f>$E$71</f>
        <v>27</v>
      </c>
      <c r="F76" s="78">
        <f t="shared" si="30"/>
        <v>945000</v>
      </c>
      <c r="G76" s="78">
        <f>G71</f>
        <v>27</v>
      </c>
      <c r="H76" s="78">
        <f t="shared" si="36"/>
        <v>973350</v>
      </c>
      <c r="I76" s="78">
        <f>$I$71</f>
        <v>27</v>
      </c>
      <c r="J76" s="78">
        <f t="shared" si="37"/>
        <v>1001700</v>
      </c>
      <c r="K76" s="78">
        <f>$K$71</f>
        <v>27</v>
      </c>
      <c r="L76" s="78">
        <f t="shared" si="38"/>
        <v>1030050</v>
      </c>
      <c r="M76" s="78">
        <f>$M$71</f>
        <v>27</v>
      </c>
      <c r="N76" s="78">
        <f t="shared" si="39"/>
        <v>1058400</v>
      </c>
      <c r="O76" s="78">
        <f t="shared" si="40"/>
        <v>5008500</v>
      </c>
    </row>
    <row r="77" spans="1:15" x14ac:dyDescent="0.25">
      <c r="A77" s="41"/>
      <c r="B77" s="42" t="s">
        <v>41</v>
      </c>
      <c r="C77" s="41" t="s">
        <v>61</v>
      </c>
      <c r="D77" s="76">
        <v>75000</v>
      </c>
      <c r="E77" s="78">
        <f>$E$71</f>
        <v>27</v>
      </c>
      <c r="F77" s="78">
        <f t="shared" si="30"/>
        <v>2025000</v>
      </c>
      <c r="G77" s="78"/>
      <c r="H77" s="78">
        <f t="shared" si="36"/>
        <v>0</v>
      </c>
      <c r="I77" s="78">
        <f>$I$71</f>
        <v>27</v>
      </c>
      <c r="J77" s="78">
        <f t="shared" si="37"/>
        <v>2146500</v>
      </c>
      <c r="K77" s="78"/>
      <c r="L77" s="78">
        <f t="shared" si="38"/>
        <v>0</v>
      </c>
      <c r="M77" s="78">
        <f>$M$71</f>
        <v>27</v>
      </c>
      <c r="N77" s="78">
        <f t="shared" si="39"/>
        <v>2268000</v>
      </c>
      <c r="O77" s="78">
        <f t="shared" si="40"/>
        <v>6439500</v>
      </c>
    </row>
    <row r="78" spans="1:15" x14ac:dyDescent="0.25">
      <c r="A78" s="41"/>
      <c r="B78" s="42" t="s">
        <v>111</v>
      </c>
      <c r="C78" s="41" t="s">
        <v>63</v>
      </c>
      <c r="D78" s="76">
        <v>90000</v>
      </c>
      <c r="E78" s="78">
        <f>$E$71</f>
        <v>27</v>
      </c>
      <c r="F78" s="78">
        <f t="shared" si="30"/>
        <v>2430000</v>
      </c>
      <c r="G78" s="78"/>
      <c r="H78" s="78">
        <f t="shared" si="36"/>
        <v>0</v>
      </c>
      <c r="I78" s="78">
        <f>$I$71</f>
        <v>27</v>
      </c>
      <c r="J78" s="78">
        <f t="shared" si="37"/>
        <v>2575800</v>
      </c>
      <c r="K78" s="78"/>
      <c r="L78" s="78">
        <f t="shared" si="38"/>
        <v>0</v>
      </c>
      <c r="M78" s="78">
        <f>$M$71</f>
        <v>27</v>
      </c>
      <c r="N78" s="78">
        <f t="shared" si="39"/>
        <v>2721600</v>
      </c>
      <c r="O78" s="78">
        <f t="shared" si="40"/>
        <v>7727400</v>
      </c>
    </row>
    <row r="79" spans="1:15" x14ac:dyDescent="0.25">
      <c r="A79" s="41"/>
      <c r="B79" s="42" t="s">
        <v>112</v>
      </c>
      <c r="C79" s="41" t="s">
        <v>61</v>
      </c>
      <c r="D79" s="76">
        <v>58000</v>
      </c>
      <c r="E79" s="78">
        <f>$E$71*2</f>
        <v>54</v>
      </c>
      <c r="F79" s="78">
        <f t="shared" ref="F79:F88" si="41">E79*D79</f>
        <v>3132000</v>
      </c>
      <c r="G79" s="78">
        <f>G71*2</f>
        <v>54</v>
      </c>
      <c r="H79" s="78">
        <f t="shared" si="36"/>
        <v>3225960</v>
      </c>
      <c r="I79" s="78">
        <f>$I$71*2</f>
        <v>54</v>
      </c>
      <c r="J79" s="78">
        <f t="shared" si="37"/>
        <v>3319920</v>
      </c>
      <c r="K79" s="78">
        <f>$K$71*2</f>
        <v>54</v>
      </c>
      <c r="L79" s="78">
        <f t="shared" si="38"/>
        <v>3413880</v>
      </c>
      <c r="M79" s="78">
        <f>$M$71*2</f>
        <v>54</v>
      </c>
      <c r="N79" s="78">
        <f t="shared" si="39"/>
        <v>3507840</v>
      </c>
      <c r="O79" s="78">
        <f t="shared" si="40"/>
        <v>16599600</v>
      </c>
    </row>
    <row r="80" spans="1:15" x14ac:dyDescent="0.25">
      <c r="A80" s="41"/>
      <c r="B80" s="42" t="s">
        <v>113</v>
      </c>
      <c r="C80" s="41" t="s">
        <v>61</v>
      </c>
      <c r="D80" s="76">
        <v>80000</v>
      </c>
      <c r="E80" s="78">
        <f>$E$71*2</f>
        <v>54</v>
      </c>
      <c r="F80" s="78">
        <f t="shared" si="41"/>
        <v>4320000</v>
      </c>
      <c r="G80" s="78">
        <f>G71*2</f>
        <v>54</v>
      </c>
      <c r="H80" s="78">
        <f t="shared" si="36"/>
        <v>4449600</v>
      </c>
      <c r="I80" s="78">
        <f>$I$71*2</f>
        <v>54</v>
      </c>
      <c r="J80" s="78">
        <f t="shared" si="37"/>
        <v>4579200</v>
      </c>
      <c r="K80" s="78">
        <f>$K$71*2</f>
        <v>54</v>
      </c>
      <c r="L80" s="78">
        <f t="shared" si="38"/>
        <v>4708800</v>
      </c>
      <c r="M80" s="78">
        <f>$M$71*2</f>
        <v>54</v>
      </c>
      <c r="N80" s="78">
        <f t="shared" si="39"/>
        <v>4838400</v>
      </c>
      <c r="O80" s="78">
        <f t="shared" si="40"/>
        <v>22896000</v>
      </c>
    </row>
    <row r="81" spans="1:15" x14ac:dyDescent="0.25">
      <c r="A81" s="41"/>
      <c r="B81" s="42" t="s">
        <v>114</v>
      </c>
      <c r="C81" s="41" t="s">
        <v>61</v>
      </c>
      <c r="D81" s="76">
        <v>50000</v>
      </c>
      <c r="E81" s="78">
        <f>$E$71*2</f>
        <v>54</v>
      </c>
      <c r="F81" s="78">
        <f t="shared" si="41"/>
        <v>2700000</v>
      </c>
      <c r="G81" s="78">
        <f>G71*2</f>
        <v>54</v>
      </c>
      <c r="H81" s="78">
        <f t="shared" si="36"/>
        <v>2781000</v>
      </c>
      <c r="I81" s="78">
        <f>$I$71*2</f>
        <v>54</v>
      </c>
      <c r="J81" s="78">
        <f t="shared" si="37"/>
        <v>2862000</v>
      </c>
      <c r="K81" s="78">
        <f>$K$71*2</f>
        <v>54</v>
      </c>
      <c r="L81" s="78">
        <f t="shared" si="38"/>
        <v>2943000</v>
      </c>
      <c r="M81" s="78">
        <f>$M$71*2</f>
        <v>54</v>
      </c>
      <c r="N81" s="78">
        <f t="shared" si="39"/>
        <v>3024000</v>
      </c>
      <c r="O81" s="78">
        <f t="shared" si="40"/>
        <v>14310000</v>
      </c>
    </row>
    <row r="82" spans="1:15" x14ac:dyDescent="0.25">
      <c r="A82" s="41"/>
      <c r="B82" s="42" t="s">
        <v>93</v>
      </c>
      <c r="C82" s="41" t="s">
        <v>61</v>
      </c>
      <c r="D82" s="76">
        <v>280000</v>
      </c>
      <c r="E82" s="78">
        <f t="shared" ref="E82:E88" si="42">$E$71</f>
        <v>27</v>
      </c>
      <c r="F82" s="78">
        <f t="shared" si="41"/>
        <v>7560000</v>
      </c>
      <c r="G82" s="78"/>
      <c r="H82" s="78">
        <f t="shared" si="36"/>
        <v>0</v>
      </c>
      <c r="I82" s="78">
        <f t="shared" ref="I82:I88" si="43">$I$71</f>
        <v>27</v>
      </c>
      <c r="J82" s="78">
        <f t="shared" si="37"/>
        <v>8013600</v>
      </c>
      <c r="K82" s="78"/>
      <c r="L82" s="78">
        <f t="shared" si="38"/>
        <v>0</v>
      </c>
      <c r="M82" s="78">
        <f t="shared" ref="M82:M88" si="44">$M$71</f>
        <v>27</v>
      </c>
      <c r="N82" s="78">
        <f t="shared" si="39"/>
        <v>8467200</v>
      </c>
      <c r="O82" s="78">
        <f t="shared" si="40"/>
        <v>24040800</v>
      </c>
    </row>
    <row r="83" spans="1:15" x14ac:dyDescent="0.25">
      <c r="A83" s="41"/>
      <c r="B83" s="42" t="s">
        <v>94</v>
      </c>
      <c r="C83" s="41" t="s">
        <v>61</v>
      </c>
      <c r="D83" s="76">
        <v>150000</v>
      </c>
      <c r="E83" s="78">
        <f t="shared" si="42"/>
        <v>27</v>
      </c>
      <c r="F83" s="78">
        <f t="shared" si="41"/>
        <v>4050000</v>
      </c>
      <c r="G83" s="78"/>
      <c r="H83" s="78">
        <f t="shared" si="36"/>
        <v>0</v>
      </c>
      <c r="I83" s="78">
        <f t="shared" si="43"/>
        <v>27</v>
      </c>
      <c r="J83" s="78">
        <f t="shared" si="37"/>
        <v>4293000</v>
      </c>
      <c r="K83" s="78"/>
      <c r="L83" s="78">
        <f t="shared" si="38"/>
        <v>0</v>
      </c>
      <c r="M83" s="78">
        <f t="shared" si="44"/>
        <v>27</v>
      </c>
      <c r="N83" s="78">
        <f t="shared" si="39"/>
        <v>4536000</v>
      </c>
      <c r="O83" s="78">
        <f t="shared" si="40"/>
        <v>12879000</v>
      </c>
    </row>
    <row r="84" spans="1:15" x14ac:dyDescent="0.25">
      <c r="A84" s="41"/>
      <c r="B84" s="42" t="s">
        <v>95</v>
      </c>
      <c r="C84" s="41" t="s">
        <v>61</v>
      </c>
      <c r="D84" s="76">
        <v>80000</v>
      </c>
      <c r="E84" s="78">
        <f t="shared" si="42"/>
        <v>27</v>
      </c>
      <c r="F84" s="78">
        <f t="shared" si="41"/>
        <v>2160000</v>
      </c>
      <c r="G84" s="78"/>
      <c r="H84" s="78">
        <f t="shared" si="36"/>
        <v>0</v>
      </c>
      <c r="I84" s="78">
        <f t="shared" si="43"/>
        <v>27</v>
      </c>
      <c r="J84" s="78">
        <f t="shared" si="37"/>
        <v>2289600</v>
      </c>
      <c r="K84" s="78"/>
      <c r="L84" s="78">
        <f t="shared" si="38"/>
        <v>0</v>
      </c>
      <c r="M84" s="78">
        <f t="shared" si="44"/>
        <v>27</v>
      </c>
      <c r="N84" s="78">
        <f t="shared" si="39"/>
        <v>2419200</v>
      </c>
      <c r="O84" s="78">
        <f t="shared" si="40"/>
        <v>6868800</v>
      </c>
    </row>
    <row r="85" spans="1:15" x14ac:dyDescent="0.25">
      <c r="A85" s="41"/>
      <c r="B85" s="42" t="s">
        <v>80</v>
      </c>
      <c r="C85" s="41" t="s">
        <v>61</v>
      </c>
      <c r="D85" s="76">
        <v>84000</v>
      </c>
      <c r="E85" s="78">
        <f t="shared" si="42"/>
        <v>27</v>
      </c>
      <c r="F85" s="78">
        <f t="shared" si="41"/>
        <v>2268000</v>
      </c>
      <c r="G85" s="78">
        <f>G71</f>
        <v>27</v>
      </c>
      <c r="H85" s="78">
        <f t="shared" si="36"/>
        <v>2336040</v>
      </c>
      <c r="I85" s="78">
        <f t="shared" si="43"/>
        <v>27</v>
      </c>
      <c r="J85" s="78">
        <f t="shared" si="37"/>
        <v>2404080</v>
      </c>
      <c r="K85" s="78">
        <f>$K$71</f>
        <v>27</v>
      </c>
      <c r="L85" s="78">
        <f t="shared" si="38"/>
        <v>2472120</v>
      </c>
      <c r="M85" s="78">
        <f t="shared" si="44"/>
        <v>27</v>
      </c>
      <c r="N85" s="78">
        <f t="shared" si="39"/>
        <v>2540160</v>
      </c>
      <c r="O85" s="78">
        <f t="shared" si="40"/>
        <v>12020400</v>
      </c>
    </row>
    <row r="86" spans="1:15" x14ac:dyDescent="0.25">
      <c r="A86" s="41"/>
      <c r="B86" s="42" t="s">
        <v>283</v>
      </c>
      <c r="C86" s="41" t="s">
        <v>61</v>
      </c>
      <c r="D86" s="76">
        <v>800000</v>
      </c>
      <c r="E86" s="78">
        <f t="shared" si="42"/>
        <v>27</v>
      </c>
      <c r="F86" s="78">
        <f t="shared" si="41"/>
        <v>21600000</v>
      </c>
      <c r="G86" s="78"/>
      <c r="H86" s="78">
        <f t="shared" si="36"/>
        <v>0</v>
      </c>
      <c r="I86" s="78"/>
      <c r="J86" s="78">
        <f t="shared" si="37"/>
        <v>0</v>
      </c>
      <c r="K86" s="78"/>
      <c r="L86" s="78">
        <f t="shared" si="38"/>
        <v>0</v>
      </c>
      <c r="M86" s="78">
        <f t="shared" si="44"/>
        <v>27</v>
      </c>
      <c r="N86" s="78">
        <f t="shared" si="39"/>
        <v>24192000</v>
      </c>
      <c r="O86" s="78">
        <f t="shared" si="40"/>
        <v>45792000</v>
      </c>
    </row>
    <row r="87" spans="1:15" x14ac:dyDescent="0.25">
      <c r="A87" s="41"/>
      <c r="B87" s="42" t="s">
        <v>110</v>
      </c>
      <c r="C87" s="41" t="s">
        <v>61</v>
      </c>
      <c r="D87" s="76">
        <v>284000</v>
      </c>
      <c r="E87" s="78">
        <f t="shared" si="42"/>
        <v>27</v>
      </c>
      <c r="F87" s="78">
        <f t="shared" si="41"/>
        <v>7668000</v>
      </c>
      <c r="G87" s="78"/>
      <c r="H87" s="78">
        <f t="shared" si="36"/>
        <v>0</v>
      </c>
      <c r="I87" s="78"/>
      <c r="J87" s="78">
        <f t="shared" si="37"/>
        <v>0</v>
      </c>
      <c r="K87" s="78"/>
      <c r="L87" s="78">
        <f t="shared" si="38"/>
        <v>0</v>
      </c>
      <c r="M87" s="78">
        <f t="shared" si="44"/>
        <v>27</v>
      </c>
      <c r="N87" s="78">
        <f t="shared" si="39"/>
        <v>8588160</v>
      </c>
      <c r="O87" s="78">
        <f t="shared" si="40"/>
        <v>16256160</v>
      </c>
    </row>
    <row r="88" spans="1:15" x14ac:dyDescent="0.25">
      <c r="A88" s="41"/>
      <c r="B88" s="42" t="s">
        <v>74</v>
      </c>
      <c r="C88" s="41" t="s">
        <v>61</v>
      </c>
      <c r="D88" s="76">
        <v>380000</v>
      </c>
      <c r="E88" s="78">
        <f t="shared" si="42"/>
        <v>27</v>
      </c>
      <c r="F88" s="78">
        <f t="shared" si="41"/>
        <v>10260000</v>
      </c>
      <c r="G88" s="78">
        <f>G71</f>
        <v>27</v>
      </c>
      <c r="H88" s="78">
        <f t="shared" si="36"/>
        <v>10567800</v>
      </c>
      <c r="I88" s="78">
        <f t="shared" si="43"/>
        <v>27</v>
      </c>
      <c r="J88" s="78">
        <f t="shared" si="37"/>
        <v>10875600</v>
      </c>
      <c r="K88" s="78">
        <f>$K$71</f>
        <v>27</v>
      </c>
      <c r="L88" s="78">
        <f t="shared" si="38"/>
        <v>11183400</v>
      </c>
      <c r="M88" s="78">
        <f t="shared" si="44"/>
        <v>27</v>
      </c>
      <c r="N88" s="78">
        <f t="shared" si="39"/>
        <v>11491200</v>
      </c>
      <c r="O88" s="78">
        <f t="shared" si="40"/>
        <v>54378000</v>
      </c>
    </row>
    <row r="89" spans="1:15" s="10" customFormat="1" hidden="1" x14ac:dyDescent="0.25">
      <c r="A89" s="11" t="s">
        <v>55</v>
      </c>
      <c r="B89" s="12" t="s">
        <v>56</v>
      </c>
      <c r="C89" s="11"/>
      <c r="D89" s="74"/>
      <c r="E89" s="75">
        <f>'PL1'!V12-'PL1'!W12</f>
        <v>0</v>
      </c>
      <c r="F89" s="75">
        <f>SUBTOTAL(9,F90:F96)</f>
        <v>0</v>
      </c>
      <c r="G89" s="75">
        <f>'PL1'!V12-'PL1'!W12</f>
        <v>0</v>
      </c>
      <c r="H89" s="75">
        <f>SUBTOTAL(9,H90:H96)</f>
        <v>0</v>
      </c>
      <c r="I89" s="75">
        <f>G89</f>
        <v>0</v>
      </c>
      <c r="J89" s="75">
        <f>SUBTOTAL(9,J90:J96)</f>
        <v>0</v>
      </c>
      <c r="K89" s="75">
        <f>E89</f>
        <v>0</v>
      </c>
      <c r="L89" s="75">
        <f>SUBTOTAL(9,L90:L96)</f>
        <v>0</v>
      </c>
      <c r="M89" s="75">
        <f>E89</f>
        <v>0</v>
      </c>
      <c r="N89" s="75">
        <f>SUBTOTAL(9,N90:N96)</f>
        <v>0</v>
      </c>
      <c r="O89" s="75">
        <f>SUBTOTAL(9,O90:O96)</f>
        <v>0</v>
      </c>
    </row>
    <row r="90" spans="1:15" hidden="1" x14ac:dyDescent="0.25">
      <c r="A90" s="41"/>
      <c r="B90" s="42" t="s">
        <v>37</v>
      </c>
      <c r="C90" s="41" t="s">
        <v>60</v>
      </c>
      <c r="D90" s="76">
        <v>517000</v>
      </c>
      <c r="E90" s="78">
        <f>E89</f>
        <v>0</v>
      </c>
      <c r="F90" s="78">
        <f t="shared" si="30"/>
        <v>0</v>
      </c>
      <c r="G90" s="78">
        <f>G89</f>
        <v>0</v>
      </c>
      <c r="H90" s="78">
        <f>G90*(D90+D90*3%)</f>
        <v>0</v>
      </c>
      <c r="I90" s="78">
        <f>$I$89</f>
        <v>0</v>
      </c>
      <c r="J90" s="78">
        <f t="shared" ref="J90:J96" si="45">I90*(D90+D90*6%)</f>
        <v>0</v>
      </c>
      <c r="K90" s="78">
        <f>K89</f>
        <v>0</v>
      </c>
      <c r="L90" s="78">
        <f t="shared" ref="L90:L96" si="46">K90*(D90+D90*9%)</f>
        <v>0</v>
      </c>
      <c r="M90" s="78">
        <f>$M$89</f>
        <v>0</v>
      </c>
      <c r="N90" s="78">
        <f t="shared" ref="N90:N96" si="47">M90*(D90+D90*12%)</f>
        <v>0</v>
      </c>
      <c r="O90" s="78">
        <f t="shared" ref="O90:O96" si="48">F90+H90+J90+L90+N90</f>
        <v>0</v>
      </c>
    </row>
    <row r="91" spans="1:15" hidden="1" x14ac:dyDescent="0.25">
      <c r="A91" s="41"/>
      <c r="B91" s="42" t="s">
        <v>282</v>
      </c>
      <c r="C91" s="41" t="s">
        <v>61</v>
      </c>
      <c r="D91" s="76">
        <v>155000</v>
      </c>
      <c r="E91" s="78">
        <f>E89</f>
        <v>0</v>
      </c>
      <c r="F91" s="78">
        <f t="shared" si="30"/>
        <v>0</v>
      </c>
      <c r="G91" s="78"/>
      <c r="H91" s="78">
        <f t="shared" ref="H91:H96" si="49">G91*(D91+D91*3%)</f>
        <v>0</v>
      </c>
      <c r="I91" s="78">
        <f>$I$89</f>
        <v>0</v>
      </c>
      <c r="J91" s="78">
        <f t="shared" si="45"/>
        <v>0</v>
      </c>
      <c r="K91" s="78"/>
      <c r="L91" s="78">
        <f t="shared" si="46"/>
        <v>0</v>
      </c>
      <c r="M91" s="78">
        <f t="shared" ref="M91:M96" si="50">$M$89</f>
        <v>0</v>
      </c>
      <c r="N91" s="78">
        <f t="shared" si="47"/>
        <v>0</v>
      </c>
      <c r="O91" s="78">
        <f t="shared" si="48"/>
        <v>0</v>
      </c>
    </row>
    <row r="92" spans="1:15" hidden="1" x14ac:dyDescent="0.25">
      <c r="A92" s="41"/>
      <c r="B92" s="42" t="s">
        <v>249</v>
      </c>
      <c r="C92" s="41" t="s">
        <v>61</v>
      </c>
      <c r="D92" s="76">
        <v>78000</v>
      </c>
      <c r="E92" s="78">
        <f>E91</f>
        <v>0</v>
      </c>
      <c r="F92" s="78">
        <f t="shared" si="30"/>
        <v>0</v>
      </c>
      <c r="G92" s="78"/>
      <c r="H92" s="78">
        <f t="shared" si="49"/>
        <v>0</v>
      </c>
      <c r="I92" s="78">
        <f>$I$89</f>
        <v>0</v>
      </c>
      <c r="J92" s="78">
        <f t="shared" si="45"/>
        <v>0</v>
      </c>
      <c r="K92" s="78"/>
      <c r="L92" s="78">
        <f t="shared" si="46"/>
        <v>0</v>
      </c>
      <c r="M92" s="78">
        <f t="shared" si="50"/>
        <v>0</v>
      </c>
      <c r="N92" s="78">
        <f t="shared" si="47"/>
        <v>0</v>
      </c>
      <c r="O92" s="78">
        <f t="shared" si="48"/>
        <v>0</v>
      </c>
    </row>
    <row r="93" spans="1:15" hidden="1" x14ac:dyDescent="0.25">
      <c r="A93" s="41"/>
      <c r="B93" s="42" t="s">
        <v>39</v>
      </c>
      <c r="C93" s="41" t="s">
        <v>62</v>
      </c>
      <c r="D93" s="76">
        <v>175000</v>
      </c>
      <c r="E93" s="78">
        <f>E92</f>
        <v>0</v>
      </c>
      <c r="F93" s="78">
        <f t="shared" si="30"/>
        <v>0</v>
      </c>
      <c r="G93" s="78">
        <f>G89</f>
        <v>0</v>
      </c>
      <c r="H93" s="78">
        <f t="shared" si="49"/>
        <v>0</v>
      </c>
      <c r="I93" s="78">
        <f>$I$89</f>
        <v>0</v>
      </c>
      <c r="J93" s="78">
        <f t="shared" si="45"/>
        <v>0</v>
      </c>
      <c r="K93" s="78">
        <f>K89</f>
        <v>0</v>
      </c>
      <c r="L93" s="78">
        <f t="shared" si="46"/>
        <v>0</v>
      </c>
      <c r="M93" s="78">
        <f t="shared" si="50"/>
        <v>0</v>
      </c>
      <c r="N93" s="78">
        <f t="shared" si="47"/>
        <v>0</v>
      </c>
      <c r="O93" s="78">
        <f t="shared" si="48"/>
        <v>0</v>
      </c>
    </row>
    <row r="94" spans="1:15" hidden="1" x14ac:dyDescent="0.25">
      <c r="A94" s="41"/>
      <c r="B94" s="42" t="s">
        <v>40</v>
      </c>
      <c r="C94" s="41" t="s">
        <v>62</v>
      </c>
      <c r="D94" s="76">
        <v>35000</v>
      </c>
      <c r="E94" s="78">
        <f>E89*2</f>
        <v>0</v>
      </c>
      <c r="F94" s="78">
        <f t="shared" si="30"/>
        <v>0</v>
      </c>
      <c r="G94" s="78">
        <f>G89*2</f>
        <v>0</v>
      </c>
      <c r="H94" s="78">
        <f t="shared" si="49"/>
        <v>0</v>
      </c>
      <c r="I94" s="78">
        <f>$I$89*2</f>
        <v>0</v>
      </c>
      <c r="J94" s="78">
        <f t="shared" si="45"/>
        <v>0</v>
      </c>
      <c r="K94" s="78">
        <f>K89*2</f>
        <v>0</v>
      </c>
      <c r="L94" s="78">
        <f t="shared" si="46"/>
        <v>0</v>
      </c>
      <c r="M94" s="78">
        <f>$M$89*2</f>
        <v>0</v>
      </c>
      <c r="N94" s="78">
        <f t="shared" si="47"/>
        <v>0</v>
      </c>
      <c r="O94" s="78">
        <f t="shared" si="48"/>
        <v>0</v>
      </c>
    </row>
    <row r="95" spans="1:15" hidden="1" x14ac:dyDescent="0.25">
      <c r="A95" s="41"/>
      <c r="B95" s="42" t="s">
        <v>41</v>
      </c>
      <c r="C95" s="41" t="s">
        <v>61</v>
      </c>
      <c r="D95" s="76">
        <v>75000</v>
      </c>
      <c r="E95" s="78">
        <f>E89</f>
        <v>0</v>
      </c>
      <c r="F95" s="78">
        <f t="shared" si="30"/>
        <v>0</v>
      </c>
      <c r="G95" s="78"/>
      <c r="H95" s="78">
        <f t="shared" si="49"/>
        <v>0</v>
      </c>
      <c r="I95" s="78">
        <f>$I$89</f>
        <v>0</v>
      </c>
      <c r="J95" s="78">
        <f t="shared" si="45"/>
        <v>0</v>
      </c>
      <c r="K95" s="78"/>
      <c r="L95" s="78">
        <f t="shared" si="46"/>
        <v>0</v>
      </c>
      <c r="M95" s="78">
        <f t="shared" si="50"/>
        <v>0</v>
      </c>
      <c r="N95" s="78">
        <f t="shared" si="47"/>
        <v>0</v>
      </c>
      <c r="O95" s="78">
        <f t="shared" si="48"/>
        <v>0</v>
      </c>
    </row>
    <row r="96" spans="1:15" hidden="1" x14ac:dyDescent="0.25">
      <c r="A96" s="41"/>
      <c r="B96" s="42" t="s">
        <v>49</v>
      </c>
      <c r="C96" s="41" t="s">
        <v>63</v>
      </c>
      <c r="D96" s="76">
        <v>90000</v>
      </c>
      <c r="E96" s="78">
        <f>E95</f>
        <v>0</v>
      </c>
      <c r="F96" s="78">
        <f t="shared" si="30"/>
        <v>0</v>
      </c>
      <c r="G96" s="78"/>
      <c r="H96" s="78">
        <f t="shared" si="49"/>
        <v>0</v>
      </c>
      <c r="I96" s="78"/>
      <c r="J96" s="78">
        <f t="shared" si="45"/>
        <v>0</v>
      </c>
      <c r="K96" s="78">
        <f>K89</f>
        <v>0</v>
      </c>
      <c r="L96" s="78">
        <f t="shared" si="46"/>
        <v>0</v>
      </c>
      <c r="M96" s="78">
        <f t="shared" si="50"/>
        <v>0</v>
      </c>
      <c r="N96" s="78">
        <f t="shared" si="47"/>
        <v>0</v>
      </c>
      <c r="O96" s="78">
        <f t="shared" si="48"/>
        <v>0</v>
      </c>
    </row>
    <row r="97" spans="1:15" s="10" customFormat="1" x14ac:dyDescent="0.25">
      <c r="A97" s="11" t="s">
        <v>54</v>
      </c>
      <c r="B97" s="11" t="s">
        <v>345</v>
      </c>
      <c r="C97" s="11"/>
      <c r="D97" s="74"/>
      <c r="E97" s="75">
        <v>22</v>
      </c>
      <c r="F97" s="75">
        <f>SUBTOTAL(9,F98:F105)</f>
        <v>46046000</v>
      </c>
      <c r="G97" s="75">
        <f>E97</f>
        <v>22</v>
      </c>
      <c r="H97" s="75">
        <f>SUBTOTAL(9,H98:H105)</f>
        <v>1586200</v>
      </c>
      <c r="I97" s="75">
        <f>E97</f>
        <v>22</v>
      </c>
      <c r="J97" s="75">
        <f>SUBTOTAL(9,J98:J105)</f>
        <v>33464200</v>
      </c>
      <c r="K97" s="75">
        <f>E97</f>
        <v>22</v>
      </c>
      <c r="L97" s="75">
        <f>SUBTOTAL(9,L98:L105)</f>
        <v>17457440</v>
      </c>
      <c r="M97" s="75">
        <f>E97</f>
        <v>22</v>
      </c>
      <c r="N97" s="75">
        <f>SUBTOTAL(9,N98:N105)</f>
        <v>35358400</v>
      </c>
      <c r="O97" s="75">
        <f>SUBTOTAL(9,O98:O105)</f>
        <v>133912240</v>
      </c>
    </row>
    <row r="98" spans="1:15" x14ac:dyDescent="0.25">
      <c r="A98" s="41"/>
      <c r="B98" s="42" t="s">
        <v>37</v>
      </c>
      <c r="C98" s="41" t="s">
        <v>60</v>
      </c>
      <c r="D98" s="76">
        <v>700000</v>
      </c>
      <c r="E98" s="78">
        <f>$E$97</f>
        <v>22</v>
      </c>
      <c r="F98" s="78">
        <f>E98*D98</f>
        <v>15400000</v>
      </c>
      <c r="G98" s="78"/>
      <c r="H98" s="78">
        <f>G98*(D98+D98*3%)</f>
        <v>0</v>
      </c>
      <c r="I98" s="78">
        <f>I97</f>
        <v>22</v>
      </c>
      <c r="J98" s="78">
        <f>I98*(D98+D98*6%)</f>
        <v>16324000</v>
      </c>
      <c r="K98" s="78">
        <v>0</v>
      </c>
      <c r="L98" s="78">
        <f>K98*(D98+D98*9%)</f>
        <v>0</v>
      </c>
      <c r="M98" s="78">
        <f>M97</f>
        <v>22</v>
      </c>
      <c r="N98" s="78">
        <f>M98*(D98+D98*12%)</f>
        <v>17248000</v>
      </c>
      <c r="O98" s="78">
        <f>F98+H98+J98+L98+N98</f>
        <v>48972000</v>
      </c>
    </row>
    <row r="99" spans="1:15" x14ac:dyDescent="0.25">
      <c r="A99" s="41"/>
      <c r="B99" s="42" t="s">
        <v>282</v>
      </c>
      <c r="C99" s="41" t="s">
        <v>61</v>
      </c>
      <c r="D99" s="76">
        <v>155000</v>
      </c>
      <c r="E99" s="78">
        <f t="shared" ref="E99:E105" si="51">$E$97</f>
        <v>22</v>
      </c>
      <c r="F99" s="78">
        <f t="shared" ref="F99:F105" si="52">E99*D99</f>
        <v>3410000</v>
      </c>
      <c r="G99" s="78"/>
      <c r="H99" s="78">
        <f t="shared" ref="H99:H105" si="53">G99*(D99+D99*3%)</f>
        <v>0</v>
      </c>
      <c r="I99" s="78">
        <v>0</v>
      </c>
      <c r="J99" s="78">
        <f t="shared" ref="J99:J105" si="54">I99*(D99+D99*6%)</f>
        <v>0</v>
      </c>
      <c r="K99" s="78">
        <f>K97</f>
        <v>22</v>
      </c>
      <c r="L99" s="78">
        <f t="shared" ref="L99:L105" si="55">K99*(D99+D99*9%)</f>
        <v>3716900</v>
      </c>
      <c r="M99" s="78">
        <v>0</v>
      </c>
      <c r="N99" s="78">
        <f t="shared" ref="N99:N105" si="56">M99*(D99+D99*12%)</f>
        <v>0</v>
      </c>
      <c r="O99" s="78">
        <f t="shared" ref="O99:O105" si="57">F99+H99+J99+L99+N99</f>
        <v>7126900</v>
      </c>
    </row>
    <row r="100" spans="1:15" x14ac:dyDescent="0.25">
      <c r="A100" s="41"/>
      <c r="B100" s="42" t="s">
        <v>249</v>
      </c>
      <c r="C100" s="41" t="s">
        <v>61</v>
      </c>
      <c r="D100" s="76">
        <v>78000</v>
      </c>
      <c r="E100" s="78">
        <f t="shared" si="51"/>
        <v>22</v>
      </c>
      <c r="F100" s="78">
        <f t="shared" si="52"/>
        <v>1716000</v>
      </c>
      <c r="G100" s="78"/>
      <c r="H100" s="78">
        <f t="shared" si="53"/>
        <v>0</v>
      </c>
      <c r="I100" s="78">
        <v>0</v>
      </c>
      <c r="J100" s="78">
        <f t="shared" si="54"/>
        <v>0</v>
      </c>
      <c r="K100" s="78">
        <f>K97</f>
        <v>22</v>
      </c>
      <c r="L100" s="78">
        <f t="shared" si="55"/>
        <v>1870440</v>
      </c>
      <c r="M100" s="78">
        <v>0</v>
      </c>
      <c r="N100" s="78">
        <f t="shared" si="56"/>
        <v>0</v>
      </c>
      <c r="O100" s="78">
        <f t="shared" si="57"/>
        <v>3586440</v>
      </c>
    </row>
    <row r="101" spans="1:15" x14ac:dyDescent="0.25">
      <c r="A101" s="41"/>
      <c r="B101" s="42" t="s">
        <v>38</v>
      </c>
      <c r="C101" s="41" t="s">
        <v>62</v>
      </c>
      <c r="D101" s="76">
        <v>490000</v>
      </c>
      <c r="E101" s="78">
        <f t="shared" si="51"/>
        <v>22</v>
      </c>
      <c r="F101" s="78">
        <f t="shared" si="52"/>
        <v>10780000</v>
      </c>
      <c r="G101" s="78"/>
      <c r="H101" s="78">
        <f t="shared" si="53"/>
        <v>0</v>
      </c>
      <c r="I101" s="78">
        <f>I97</f>
        <v>22</v>
      </c>
      <c r="J101" s="78">
        <f t="shared" si="54"/>
        <v>11426800</v>
      </c>
      <c r="K101" s="78">
        <v>0</v>
      </c>
      <c r="L101" s="78">
        <f t="shared" si="55"/>
        <v>0</v>
      </c>
      <c r="M101" s="78">
        <f>M97</f>
        <v>22</v>
      </c>
      <c r="N101" s="78">
        <f t="shared" si="56"/>
        <v>12073600</v>
      </c>
      <c r="O101" s="78">
        <f t="shared" si="57"/>
        <v>34280400</v>
      </c>
    </row>
    <row r="102" spans="1:15" x14ac:dyDescent="0.25">
      <c r="A102" s="41"/>
      <c r="B102" s="42" t="s">
        <v>39</v>
      </c>
      <c r="C102" s="41" t="s">
        <v>62</v>
      </c>
      <c r="D102" s="76">
        <v>175000</v>
      </c>
      <c r="E102" s="78">
        <f t="shared" si="51"/>
        <v>22</v>
      </c>
      <c r="F102" s="78">
        <f t="shared" si="52"/>
        <v>3850000</v>
      </c>
      <c r="G102" s="78"/>
      <c r="H102" s="78">
        <f t="shared" si="53"/>
        <v>0</v>
      </c>
      <c r="I102" s="78">
        <f>I97</f>
        <v>22</v>
      </c>
      <c r="J102" s="78">
        <f t="shared" si="54"/>
        <v>4081000</v>
      </c>
      <c r="K102" s="78">
        <v>0</v>
      </c>
      <c r="L102" s="78">
        <f t="shared" si="55"/>
        <v>0</v>
      </c>
      <c r="M102" s="78">
        <f>M97</f>
        <v>22</v>
      </c>
      <c r="N102" s="78">
        <f t="shared" si="56"/>
        <v>4312000</v>
      </c>
      <c r="O102" s="78">
        <f t="shared" si="57"/>
        <v>12243000</v>
      </c>
    </row>
    <row r="103" spans="1:15" x14ac:dyDescent="0.25">
      <c r="A103" s="41"/>
      <c r="B103" s="42" t="s">
        <v>40</v>
      </c>
      <c r="C103" s="41" t="s">
        <v>62</v>
      </c>
      <c r="D103" s="76">
        <v>35000</v>
      </c>
      <c r="E103" s="78">
        <f>$E$97*2</f>
        <v>44</v>
      </c>
      <c r="F103" s="78">
        <f t="shared" si="52"/>
        <v>1540000</v>
      </c>
      <c r="G103" s="78">
        <f>G97*2</f>
        <v>44</v>
      </c>
      <c r="H103" s="78">
        <f t="shared" si="53"/>
        <v>1586200</v>
      </c>
      <c r="I103" s="78">
        <f>I97*2</f>
        <v>44</v>
      </c>
      <c r="J103" s="78">
        <f t="shared" si="54"/>
        <v>1632400</v>
      </c>
      <c r="K103" s="78">
        <f>K97*2</f>
        <v>44</v>
      </c>
      <c r="L103" s="78">
        <f t="shared" si="55"/>
        <v>1678600</v>
      </c>
      <c r="M103" s="78">
        <f>M97*2</f>
        <v>44</v>
      </c>
      <c r="N103" s="78">
        <f t="shared" si="56"/>
        <v>1724800</v>
      </c>
      <c r="O103" s="78">
        <f t="shared" si="57"/>
        <v>8162000</v>
      </c>
    </row>
    <row r="104" spans="1:15" x14ac:dyDescent="0.25">
      <c r="A104" s="41"/>
      <c r="B104" s="42" t="s">
        <v>41</v>
      </c>
      <c r="C104" s="41" t="s">
        <v>61</v>
      </c>
      <c r="D104" s="76">
        <v>75000</v>
      </c>
      <c r="E104" s="78">
        <f t="shared" si="51"/>
        <v>22</v>
      </c>
      <c r="F104" s="78">
        <f t="shared" si="52"/>
        <v>1650000</v>
      </c>
      <c r="G104" s="78"/>
      <c r="H104" s="78">
        <f t="shared" si="53"/>
        <v>0</v>
      </c>
      <c r="I104" s="78">
        <v>0</v>
      </c>
      <c r="J104" s="78">
        <f t="shared" si="54"/>
        <v>0</v>
      </c>
      <c r="K104" s="78">
        <f>K97</f>
        <v>22</v>
      </c>
      <c r="L104" s="78">
        <f t="shared" si="55"/>
        <v>1798500</v>
      </c>
      <c r="M104" s="78">
        <v>0</v>
      </c>
      <c r="N104" s="78">
        <f t="shared" si="56"/>
        <v>0</v>
      </c>
      <c r="O104" s="78">
        <f t="shared" si="57"/>
        <v>3448500</v>
      </c>
    </row>
    <row r="105" spans="1:15" x14ac:dyDescent="0.25">
      <c r="A105" s="41"/>
      <c r="B105" s="42" t="s">
        <v>42</v>
      </c>
      <c r="C105" s="41" t="s">
        <v>60</v>
      </c>
      <c r="D105" s="76">
        <v>350000</v>
      </c>
      <c r="E105" s="78">
        <f t="shared" si="51"/>
        <v>22</v>
      </c>
      <c r="F105" s="78">
        <f t="shared" si="52"/>
        <v>7700000</v>
      </c>
      <c r="G105" s="78"/>
      <c r="H105" s="78">
        <f t="shared" si="53"/>
        <v>0</v>
      </c>
      <c r="I105" s="78">
        <v>0</v>
      </c>
      <c r="J105" s="78">
        <f t="shared" si="54"/>
        <v>0</v>
      </c>
      <c r="K105" s="78">
        <f>K97</f>
        <v>22</v>
      </c>
      <c r="L105" s="78">
        <f t="shared" si="55"/>
        <v>8393000</v>
      </c>
      <c r="M105" s="78">
        <v>0</v>
      </c>
      <c r="N105" s="78">
        <f t="shared" si="56"/>
        <v>0</v>
      </c>
      <c r="O105" s="78">
        <f t="shared" si="57"/>
        <v>16093000</v>
      </c>
    </row>
    <row r="106" spans="1:15" s="10" customFormat="1" ht="37.5" x14ac:dyDescent="0.25">
      <c r="A106" s="11" t="s">
        <v>55</v>
      </c>
      <c r="B106" s="12" t="s">
        <v>46</v>
      </c>
      <c r="C106" s="11"/>
      <c r="D106" s="74"/>
      <c r="E106" s="75">
        <f>'PL1'!L7</f>
        <v>3</v>
      </c>
      <c r="F106" s="75">
        <f>SUBTOTAL(9,F107:F114)</f>
        <v>6279000</v>
      </c>
      <c r="G106" s="75">
        <f>E106</f>
        <v>3</v>
      </c>
      <c r="H106" s="75">
        <f>SUBTOTAL(9,H107:H114)</f>
        <v>2920050</v>
      </c>
      <c r="I106" s="75">
        <f>E106</f>
        <v>3</v>
      </c>
      <c r="J106" s="75">
        <f>SUBTOTAL(9,J107:J114)</f>
        <v>5542740</v>
      </c>
      <c r="K106" s="75">
        <f>E106</f>
        <v>3</v>
      </c>
      <c r="L106" s="75">
        <f>SUBTOTAL(9,L107:L114)</f>
        <v>60696650</v>
      </c>
      <c r="M106" s="75">
        <f>K106</f>
        <v>3</v>
      </c>
      <c r="N106" s="75">
        <f>SUBTOTAL(9,N107:N114)</f>
        <v>5856480</v>
      </c>
      <c r="O106" s="75">
        <f>SUBTOTAL(9,O107:O114)</f>
        <v>81294920</v>
      </c>
    </row>
    <row r="107" spans="1:15" x14ac:dyDescent="0.25">
      <c r="A107" s="41"/>
      <c r="B107" s="42" t="s">
        <v>37</v>
      </c>
      <c r="C107" s="41" t="s">
        <v>60</v>
      </c>
      <c r="D107" s="76">
        <v>700000</v>
      </c>
      <c r="E107" s="78">
        <f>$E$106</f>
        <v>3</v>
      </c>
      <c r="F107" s="78">
        <f>E107*D107</f>
        <v>2100000</v>
      </c>
      <c r="G107" s="78">
        <f>G106</f>
        <v>3</v>
      </c>
      <c r="H107" s="78">
        <f>G107*(D107+D107*3%)</f>
        <v>2163000</v>
      </c>
      <c r="I107" s="78">
        <f>$I$106</f>
        <v>3</v>
      </c>
      <c r="J107" s="78">
        <f>I107*(D107+D107*6%)</f>
        <v>2226000</v>
      </c>
      <c r="K107" s="78">
        <f>K106</f>
        <v>3</v>
      </c>
      <c r="L107" s="78">
        <f>K107*(D107+D107*9%)</f>
        <v>2289000</v>
      </c>
      <c r="M107" s="78">
        <f>$M$106</f>
        <v>3</v>
      </c>
      <c r="N107" s="78">
        <f>M107*(D107+D107*12%)</f>
        <v>2352000</v>
      </c>
      <c r="O107" s="78">
        <f>F107+H107+J107+L107+N107</f>
        <v>11130000</v>
      </c>
    </row>
    <row r="108" spans="1:15" x14ac:dyDescent="0.25">
      <c r="A108" s="41"/>
      <c r="B108" s="42" t="s">
        <v>282</v>
      </c>
      <c r="C108" s="41" t="s">
        <v>61</v>
      </c>
      <c r="D108" s="76">
        <v>155000</v>
      </c>
      <c r="E108" s="78">
        <f t="shared" ref="E108:E114" si="58">$E$106</f>
        <v>3</v>
      </c>
      <c r="F108" s="78">
        <f t="shared" ref="F108:F114" si="59">E108*D108</f>
        <v>465000</v>
      </c>
      <c r="G108" s="78"/>
      <c r="H108" s="78">
        <f t="shared" ref="H108:H114" si="60">G108*(D108+D108*3%)</f>
        <v>0</v>
      </c>
      <c r="I108" s="78">
        <f t="shared" ref="I108:I113" si="61">$I$106</f>
        <v>3</v>
      </c>
      <c r="J108" s="78">
        <f t="shared" ref="J108:J114" si="62">I108*(D108+D108*6%)</f>
        <v>492900</v>
      </c>
      <c r="K108" s="78"/>
      <c r="L108" s="78">
        <f t="shared" ref="L108:L114" si="63">K108*(D108+D108*9%)</f>
        <v>0</v>
      </c>
      <c r="M108" s="78">
        <f t="shared" ref="M108:M113" si="64">$M$106</f>
        <v>3</v>
      </c>
      <c r="N108" s="78">
        <f t="shared" ref="N108:N114" si="65">M108*(D108+D108*12%)</f>
        <v>520800</v>
      </c>
      <c r="O108" s="78">
        <f t="shared" ref="O108:O114" si="66">F108+H108+J108+L108+N108</f>
        <v>1478700</v>
      </c>
    </row>
    <row r="109" spans="1:15" x14ac:dyDescent="0.25">
      <c r="A109" s="41"/>
      <c r="B109" s="42" t="s">
        <v>249</v>
      </c>
      <c r="C109" s="41" t="s">
        <v>61</v>
      </c>
      <c r="D109" s="76">
        <v>78000</v>
      </c>
      <c r="E109" s="78">
        <f t="shared" si="58"/>
        <v>3</v>
      </c>
      <c r="F109" s="78">
        <f t="shared" si="59"/>
        <v>234000</v>
      </c>
      <c r="G109" s="78"/>
      <c r="H109" s="78">
        <f t="shared" si="60"/>
        <v>0</v>
      </c>
      <c r="I109" s="78">
        <f t="shared" si="61"/>
        <v>3</v>
      </c>
      <c r="J109" s="78">
        <f t="shared" si="62"/>
        <v>248040</v>
      </c>
      <c r="K109" s="78"/>
      <c r="L109" s="78">
        <f t="shared" si="63"/>
        <v>0</v>
      </c>
      <c r="M109" s="78">
        <f t="shared" si="64"/>
        <v>3</v>
      </c>
      <c r="N109" s="78">
        <f t="shared" si="65"/>
        <v>262080</v>
      </c>
      <c r="O109" s="78">
        <f t="shared" si="66"/>
        <v>744120</v>
      </c>
    </row>
    <row r="110" spans="1:15" x14ac:dyDescent="0.25">
      <c r="A110" s="41"/>
      <c r="B110" s="42" t="s">
        <v>38</v>
      </c>
      <c r="C110" s="41" t="s">
        <v>62</v>
      </c>
      <c r="D110" s="76">
        <v>490000</v>
      </c>
      <c r="E110" s="78">
        <f t="shared" si="58"/>
        <v>3</v>
      </c>
      <c r="F110" s="78">
        <f t="shared" si="59"/>
        <v>1470000</v>
      </c>
      <c r="G110" s="78"/>
      <c r="H110" s="78">
        <f t="shared" si="60"/>
        <v>0</v>
      </c>
      <c r="I110" s="78">
        <f t="shared" si="61"/>
        <v>3</v>
      </c>
      <c r="J110" s="78">
        <f t="shared" si="62"/>
        <v>1558200</v>
      </c>
      <c r="K110" s="78"/>
      <c r="L110" s="78">
        <f t="shared" si="63"/>
        <v>0</v>
      </c>
      <c r="M110" s="78">
        <f t="shared" si="64"/>
        <v>3</v>
      </c>
      <c r="N110" s="78">
        <f t="shared" si="65"/>
        <v>1646400</v>
      </c>
      <c r="O110" s="78">
        <f t="shared" si="66"/>
        <v>4674600</v>
      </c>
    </row>
    <row r="111" spans="1:15" x14ac:dyDescent="0.25">
      <c r="A111" s="41"/>
      <c r="B111" s="42" t="s">
        <v>39</v>
      </c>
      <c r="C111" s="41" t="s">
        <v>62</v>
      </c>
      <c r="D111" s="76">
        <v>175000</v>
      </c>
      <c r="E111" s="78">
        <f t="shared" si="58"/>
        <v>3</v>
      </c>
      <c r="F111" s="78">
        <f t="shared" si="59"/>
        <v>525000</v>
      </c>
      <c r="G111" s="78">
        <f>G106</f>
        <v>3</v>
      </c>
      <c r="H111" s="78">
        <f t="shared" si="60"/>
        <v>540750</v>
      </c>
      <c r="I111" s="78">
        <f t="shared" si="61"/>
        <v>3</v>
      </c>
      <c r="J111" s="78">
        <f t="shared" si="62"/>
        <v>556500</v>
      </c>
      <c r="K111" s="78">
        <f>K106</f>
        <v>3</v>
      </c>
      <c r="L111" s="78">
        <f t="shared" si="63"/>
        <v>572250</v>
      </c>
      <c r="M111" s="78">
        <f t="shared" si="64"/>
        <v>3</v>
      </c>
      <c r="N111" s="78">
        <f t="shared" si="65"/>
        <v>588000</v>
      </c>
      <c r="O111" s="78">
        <f t="shared" si="66"/>
        <v>2782500</v>
      </c>
    </row>
    <row r="112" spans="1:15" x14ac:dyDescent="0.25">
      <c r="A112" s="41"/>
      <c r="B112" s="42" t="s">
        <v>40</v>
      </c>
      <c r="C112" s="41" t="s">
        <v>62</v>
      </c>
      <c r="D112" s="76">
        <v>35000</v>
      </c>
      <c r="E112" s="78">
        <f>$E$106*2</f>
        <v>6</v>
      </c>
      <c r="F112" s="78">
        <f t="shared" si="59"/>
        <v>210000</v>
      </c>
      <c r="G112" s="78">
        <f>G106*2</f>
        <v>6</v>
      </c>
      <c r="H112" s="78">
        <f t="shared" si="60"/>
        <v>216300</v>
      </c>
      <c r="I112" s="78">
        <f>$I$106*2</f>
        <v>6</v>
      </c>
      <c r="J112" s="78">
        <f t="shared" si="62"/>
        <v>222600</v>
      </c>
      <c r="K112" s="78">
        <f>K106*2</f>
        <v>6</v>
      </c>
      <c r="L112" s="78">
        <f t="shared" si="63"/>
        <v>228900</v>
      </c>
      <c r="M112" s="78">
        <f>$M$106*2</f>
        <v>6</v>
      </c>
      <c r="N112" s="78">
        <f t="shared" si="65"/>
        <v>235200</v>
      </c>
      <c r="O112" s="78">
        <f t="shared" si="66"/>
        <v>1113000</v>
      </c>
    </row>
    <row r="113" spans="1:15" x14ac:dyDescent="0.25">
      <c r="A113" s="41"/>
      <c r="B113" s="42" t="s">
        <v>41</v>
      </c>
      <c r="C113" s="41" t="s">
        <v>61</v>
      </c>
      <c r="D113" s="76">
        <v>75000</v>
      </c>
      <c r="E113" s="78">
        <f t="shared" si="58"/>
        <v>3</v>
      </c>
      <c r="F113" s="78">
        <f t="shared" si="59"/>
        <v>225000</v>
      </c>
      <c r="G113" s="78"/>
      <c r="H113" s="78">
        <f t="shared" si="60"/>
        <v>0</v>
      </c>
      <c r="I113" s="78">
        <f t="shared" si="61"/>
        <v>3</v>
      </c>
      <c r="J113" s="78">
        <f t="shared" si="62"/>
        <v>238500</v>
      </c>
      <c r="K113" s="78"/>
      <c r="L113" s="78">
        <f t="shared" si="63"/>
        <v>0</v>
      </c>
      <c r="M113" s="78">
        <f t="shared" si="64"/>
        <v>3</v>
      </c>
      <c r="N113" s="78">
        <f t="shared" si="65"/>
        <v>252000</v>
      </c>
      <c r="O113" s="78">
        <f t="shared" si="66"/>
        <v>715500</v>
      </c>
    </row>
    <row r="114" spans="1:15" x14ac:dyDescent="0.25">
      <c r="A114" s="41"/>
      <c r="B114" s="42" t="s">
        <v>42</v>
      </c>
      <c r="C114" s="41" t="s">
        <v>60</v>
      </c>
      <c r="D114" s="76">
        <v>350000</v>
      </c>
      <c r="E114" s="78">
        <f t="shared" si="58"/>
        <v>3</v>
      </c>
      <c r="F114" s="78">
        <f t="shared" si="59"/>
        <v>1050000</v>
      </c>
      <c r="G114" s="78"/>
      <c r="H114" s="78">
        <f t="shared" si="60"/>
        <v>0</v>
      </c>
      <c r="I114" s="78">
        <v>0</v>
      </c>
      <c r="J114" s="78">
        <f t="shared" si="62"/>
        <v>0</v>
      </c>
      <c r="K114" s="78">
        <v>151</v>
      </c>
      <c r="L114" s="78">
        <f t="shared" si="63"/>
        <v>57606500</v>
      </c>
      <c r="M114" s="78">
        <v>0</v>
      </c>
      <c r="N114" s="78">
        <f t="shared" si="65"/>
        <v>0</v>
      </c>
      <c r="O114" s="78">
        <f t="shared" si="66"/>
        <v>58656500</v>
      </c>
    </row>
    <row r="115" spans="1:15" s="10" customFormat="1" ht="37.5" x14ac:dyDescent="0.25">
      <c r="A115" s="11" t="s">
        <v>57</v>
      </c>
      <c r="B115" s="12" t="s">
        <v>328</v>
      </c>
      <c r="C115" s="11"/>
      <c r="D115" s="74"/>
      <c r="E115" s="75">
        <v>5</v>
      </c>
      <c r="F115" s="75">
        <f>SUBTOTAL(9,F116:F123)</f>
        <v>10465000</v>
      </c>
      <c r="G115" s="75">
        <f>E115</f>
        <v>5</v>
      </c>
      <c r="H115" s="75">
        <f>SUBTOTAL(9,H116:H123)</f>
        <v>360500</v>
      </c>
      <c r="I115" s="75">
        <f>E115</f>
        <v>5</v>
      </c>
      <c r="J115" s="75">
        <f>SUBTOTAL(9,J116:J123)</f>
        <v>7605500</v>
      </c>
      <c r="K115" s="75">
        <f>E115</f>
        <v>5</v>
      </c>
      <c r="L115" s="75">
        <f>SUBTOTAL(9,L116:L123)</f>
        <v>3967600</v>
      </c>
      <c r="M115" s="75">
        <f>E115</f>
        <v>5</v>
      </c>
      <c r="N115" s="75">
        <f>SUBTOTAL(9,N116:N123)</f>
        <v>8036000</v>
      </c>
      <c r="O115" s="75">
        <f>SUBTOTAL(9,O116:O123)</f>
        <v>30434600</v>
      </c>
    </row>
    <row r="116" spans="1:15" x14ac:dyDescent="0.25">
      <c r="A116" s="41"/>
      <c r="B116" s="42" t="s">
        <v>37</v>
      </c>
      <c r="C116" s="41" t="s">
        <v>60</v>
      </c>
      <c r="D116" s="76">
        <v>700000</v>
      </c>
      <c r="E116" s="78">
        <f>$E$115</f>
        <v>5</v>
      </c>
      <c r="F116" s="78">
        <f>E116*D116</f>
        <v>3500000</v>
      </c>
      <c r="G116" s="78"/>
      <c r="H116" s="78">
        <f>G116*(D116+D116*3%)</f>
        <v>0</v>
      </c>
      <c r="I116" s="78">
        <f>I115</f>
        <v>5</v>
      </c>
      <c r="J116" s="78">
        <f>I116*(D116+D116*6%)</f>
        <v>3710000</v>
      </c>
      <c r="K116" s="78">
        <v>0</v>
      </c>
      <c r="L116" s="78">
        <f>K116*(D116+D116*9%)</f>
        <v>0</v>
      </c>
      <c r="M116" s="78">
        <f>M115</f>
        <v>5</v>
      </c>
      <c r="N116" s="78">
        <f>M116*(D116+D116*12%)</f>
        <v>3920000</v>
      </c>
      <c r="O116" s="78">
        <f>F116+H116+J116+L116+N116</f>
        <v>11130000</v>
      </c>
    </row>
    <row r="117" spans="1:15" x14ac:dyDescent="0.25">
      <c r="A117" s="41"/>
      <c r="B117" s="42" t="s">
        <v>282</v>
      </c>
      <c r="C117" s="41" t="s">
        <v>61</v>
      </c>
      <c r="D117" s="76">
        <v>155000</v>
      </c>
      <c r="E117" s="78">
        <f t="shared" ref="E117:E123" si="67">$E$115</f>
        <v>5</v>
      </c>
      <c r="F117" s="78">
        <f t="shared" ref="F117:F123" si="68">E117*D117</f>
        <v>775000</v>
      </c>
      <c r="G117" s="78"/>
      <c r="H117" s="78">
        <f t="shared" ref="H117:H123" si="69">G117*(D117+D117*3%)</f>
        <v>0</v>
      </c>
      <c r="I117" s="78">
        <v>0</v>
      </c>
      <c r="J117" s="78">
        <f t="shared" ref="J117:J123" si="70">I117*(D117+D117*6%)</f>
        <v>0</v>
      </c>
      <c r="K117" s="78">
        <f>K115</f>
        <v>5</v>
      </c>
      <c r="L117" s="78">
        <f t="shared" ref="L117:L123" si="71">K117*(D117+D117*9%)</f>
        <v>844750</v>
      </c>
      <c r="M117" s="78">
        <v>0</v>
      </c>
      <c r="N117" s="78">
        <f t="shared" ref="N117:N123" si="72">M117*(D117+D117*12%)</f>
        <v>0</v>
      </c>
      <c r="O117" s="78">
        <f t="shared" ref="O117:O123" si="73">F117+H117+J117+L117+N117</f>
        <v>1619750</v>
      </c>
    </row>
    <row r="118" spans="1:15" x14ac:dyDescent="0.25">
      <c r="A118" s="41"/>
      <c r="B118" s="42" t="s">
        <v>249</v>
      </c>
      <c r="C118" s="41" t="s">
        <v>61</v>
      </c>
      <c r="D118" s="76">
        <v>78000</v>
      </c>
      <c r="E118" s="78">
        <f t="shared" si="67"/>
        <v>5</v>
      </c>
      <c r="F118" s="78">
        <f t="shared" si="68"/>
        <v>390000</v>
      </c>
      <c r="G118" s="78"/>
      <c r="H118" s="78">
        <f t="shared" si="69"/>
        <v>0</v>
      </c>
      <c r="I118" s="78">
        <v>0</v>
      </c>
      <c r="J118" s="78">
        <f t="shared" si="70"/>
        <v>0</v>
      </c>
      <c r="K118" s="78">
        <f>K115</f>
        <v>5</v>
      </c>
      <c r="L118" s="78">
        <f t="shared" si="71"/>
        <v>425100</v>
      </c>
      <c r="M118" s="78">
        <v>0</v>
      </c>
      <c r="N118" s="78">
        <f t="shared" si="72"/>
        <v>0</v>
      </c>
      <c r="O118" s="78">
        <f t="shared" si="73"/>
        <v>815100</v>
      </c>
    </row>
    <row r="119" spans="1:15" x14ac:dyDescent="0.25">
      <c r="A119" s="41"/>
      <c r="B119" s="42" t="s">
        <v>38</v>
      </c>
      <c r="C119" s="41" t="s">
        <v>62</v>
      </c>
      <c r="D119" s="76">
        <v>490000</v>
      </c>
      <c r="E119" s="78">
        <f t="shared" si="67"/>
        <v>5</v>
      </c>
      <c r="F119" s="78">
        <f t="shared" si="68"/>
        <v>2450000</v>
      </c>
      <c r="G119" s="78"/>
      <c r="H119" s="78">
        <f t="shared" si="69"/>
        <v>0</v>
      </c>
      <c r="I119" s="78">
        <f>I115</f>
        <v>5</v>
      </c>
      <c r="J119" s="78">
        <f t="shared" si="70"/>
        <v>2597000</v>
      </c>
      <c r="K119" s="78">
        <v>0</v>
      </c>
      <c r="L119" s="78">
        <f t="shared" si="71"/>
        <v>0</v>
      </c>
      <c r="M119" s="78">
        <f>M115</f>
        <v>5</v>
      </c>
      <c r="N119" s="78">
        <f t="shared" si="72"/>
        <v>2744000</v>
      </c>
      <c r="O119" s="78">
        <f t="shared" si="73"/>
        <v>7791000</v>
      </c>
    </row>
    <row r="120" spans="1:15" x14ac:dyDescent="0.25">
      <c r="A120" s="41"/>
      <c r="B120" s="42" t="s">
        <v>39</v>
      </c>
      <c r="C120" s="41" t="s">
        <v>62</v>
      </c>
      <c r="D120" s="76">
        <v>175000</v>
      </c>
      <c r="E120" s="78">
        <f t="shared" si="67"/>
        <v>5</v>
      </c>
      <c r="F120" s="78">
        <f t="shared" si="68"/>
        <v>875000</v>
      </c>
      <c r="G120" s="78"/>
      <c r="H120" s="78">
        <f t="shared" si="69"/>
        <v>0</v>
      </c>
      <c r="I120" s="78">
        <f>I115</f>
        <v>5</v>
      </c>
      <c r="J120" s="78">
        <f t="shared" si="70"/>
        <v>927500</v>
      </c>
      <c r="K120" s="78">
        <v>0</v>
      </c>
      <c r="L120" s="78">
        <f t="shared" si="71"/>
        <v>0</v>
      </c>
      <c r="M120" s="78">
        <f>M115</f>
        <v>5</v>
      </c>
      <c r="N120" s="78">
        <f t="shared" si="72"/>
        <v>980000</v>
      </c>
      <c r="O120" s="78">
        <f t="shared" si="73"/>
        <v>2782500</v>
      </c>
    </row>
    <row r="121" spans="1:15" x14ac:dyDescent="0.25">
      <c r="A121" s="41"/>
      <c r="B121" s="42" t="s">
        <v>40</v>
      </c>
      <c r="C121" s="41" t="s">
        <v>62</v>
      </c>
      <c r="D121" s="76">
        <v>35000</v>
      </c>
      <c r="E121" s="78">
        <f>$E$115*2</f>
        <v>10</v>
      </c>
      <c r="F121" s="78">
        <f t="shared" si="68"/>
        <v>350000</v>
      </c>
      <c r="G121" s="78">
        <f>G115*2</f>
        <v>10</v>
      </c>
      <c r="H121" s="78">
        <f t="shared" si="69"/>
        <v>360500</v>
      </c>
      <c r="I121" s="78">
        <f>I115*2</f>
        <v>10</v>
      </c>
      <c r="J121" s="78">
        <f t="shared" si="70"/>
        <v>371000</v>
      </c>
      <c r="K121" s="78">
        <f>K115*2</f>
        <v>10</v>
      </c>
      <c r="L121" s="78">
        <f t="shared" si="71"/>
        <v>381500</v>
      </c>
      <c r="M121" s="78">
        <f>M115*2</f>
        <v>10</v>
      </c>
      <c r="N121" s="78">
        <f t="shared" si="72"/>
        <v>392000</v>
      </c>
      <c r="O121" s="78">
        <f t="shared" si="73"/>
        <v>1855000</v>
      </c>
    </row>
    <row r="122" spans="1:15" x14ac:dyDescent="0.25">
      <c r="A122" s="41"/>
      <c r="B122" s="42" t="s">
        <v>41</v>
      </c>
      <c r="C122" s="41" t="s">
        <v>61</v>
      </c>
      <c r="D122" s="76">
        <v>75000</v>
      </c>
      <c r="E122" s="78">
        <f t="shared" si="67"/>
        <v>5</v>
      </c>
      <c r="F122" s="78">
        <f t="shared" si="68"/>
        <v>375000</v>
      </c>
      <c r="G122" s="78"/>
      <c r="H122" s="78">
        <f t="shared" si="69"/>
        <v>0</v>
      </c>
      <c r="I122" s="78">
        <v>0</v>
      </c>
      <c r="J122" s="78">
        <f t="shared" si="70"/>
        <v>0</v>
      </c>
      <c r="K122" s="78">
        <f>K115</f>
        <v>5</v>
      </c>
      <c r="L122" s="78">
        <f t="shared" si="71"/>
        <v>408750</v>
      </c>
      <c r="M122" s="78">
        <v>0</v>
      </c>
      <c r="N122" s="78">
        <f t="shared" si="72"/>
        <v>0</v>
      </c>
      <c r="O122" s="78">
        <f t="shared" si="73"/>
        <v>783750</v>
      </c>
    </row>
    <row r="123" spans="1:15" x14ac:dyDescent="0.25">
      <c r="A123" s="41"/>
      <c r="B123" s="42" t="s">
        <v>42</v>
      </c>
      <c r="C123" s="41" t="s">
        <v>60</v>
      </c>
      <c r="D123" s="76">
        <v>350000</v>
      </c>
      <c r="E123" s="78">
        <f t="shared" si="67"/>
        <v>5</v>
      </c>
      <c r="F123" s="78">
        <f t="shared" si="68"/>
        <v>1750000</v>
      </c>
      <c r="G123" s="78"/>
      <c r="H123" s="78">
        <f t="shared" si="69"/>
        <v>0</v>
      </c>
      <c r="I123" s="78">
        <v>0</v>
      </c>
      <c r="J123" s="78">
        <f t="shared" si="70"/>
        <v>0</v>
      </c>
      <c r="K123" s="78">
        <f>K115</f>
        <v>5</v>
      </c>
      <c r="L123" s="78">
        <f t="shared" si="71"/>
        <v>1907500</v>
      </c>
      <c r="M123" s="78">
        <v>0</v>
      </c>
      <c r="N123" s="78">
        <f t="shared" si="72"/>
        <v>0</v>
      </c>
      <c r="O123" s="78">
        <f t="shared" si="73"/>
        <v>3657500</v>
      </c>
    </row>
    <row r="124" spans="1:15" x14ac:dyDescent="0.25">
      <c r="A124" s="10"/>
      <c r="B124" s="10"/>
      <c r="C124" s="10"/>
      <c r="D124" s="79"/>
      <c r="E124" s="80"/>
      <c r="F124" s="80"/>
      <c r="G124" s="80"/>
      <c r="H124" s="80"/>
      <c r="I124" s="80"/>
      <c r="J124" s="80"/>
      <c r="K124" s="80"/>
      <c r="L124" s="80"/>
      <c r="M124" s="80"/>
      <c r="N124" s="80"/>
      <c r="O124" s="80"/>
    </row>
    <row r="125" spans="1:15" hidden="1" outlineLevel="1" x14ac:dyDescent="0.25">
      <c r="B125" s="175" t="s">
        <v>133</v>
      </c>
      <c r="C125" s="175"/>
      <c r="D125" s="175"/>
      <c r="E125" s="175"/>
      <c r="F125" s="175"/>
      <c r="G125" s="175"/>
      <c r="H125" s="175"/>
      <c r="I125" s="175"/>
      <c r="J125" s="175"/>
      <c r="K125" s="175"/>
      <c r="L125" s="175"/>
      <c r="M125" s="175"/>
      <c r="N125" s="175"/>
      <c r="O125" s="175"/>
    </row>
    <row r="126" spans="1:15" collapsed="1" x14ac:dyDescent="0.25"/>
  </sheetData>
  <mergeCells count="14">
    <mergeCell ref="B125:O125"/>
    <mergeCell ref="A1:O1"/>
    <mergeCell ref="A2:O2"/>
    <mergeCell ref="A3:O3"/>
    <mergeCell ref="O5:O6"/>
    <mergeCell ref="A5:A6"/>
    <mergeCell ref="B5:B6"/>
    <mergeCell ref="I5:J5"/>
    <mergeCell ref="K5:L5"/>
    <mergeCell ref="M5:N5"/>
    <mergeCell ref="C5:C6"/>
    <mergeCell ref="D5:D6"/>
    <mergeCell ref="E5:F5"/>
    <mergeCell ref="G5:H5"/>
  </mergeCells>
  <phoneticPr fontId="16" type="noConversion"/>
  <conditionalFormatting sqref="C7:O124">
    <cfRule type="cellIs" dxfId="1" priority="7" operator="equal">
      <formula>0</formula>
    </cfRule>
  </conditionalFormatting>
  <pageMargins left="0.35" right="0.15748031496062992" top="0.74803149606299213" bottom="0.74803149606299213" header="0.31496062992125984" footer="0.31496062992125984"/>
  <pageSetup paperSize="9" scale="70" orientation="landscape" r:id="rId1"/>
  <headerFooter differentFirst="1">
    <oddHeader>&amp;C&amp;P</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50"/>
  <sheetViews>
    <sheetView workbookViewId="0">
      <pane xSplit="2" ySplit="6" topLeftCell="C7" activePane="bottomRight" state="frozen"/>
      <selection activeCell="J192" sqref="J192"/>
      <selection pane="topRight" activeCell="J192" sqref="J192"/>
      <selection pane="bottomLeft" activeCell="J192" sqref="J192"/>
      <selection pane="bottomRight" activeCell="O8" sqref="O8"/>
    </sheetView>
  </sheetViews>
  <sheetFormatPr defaultColWidth="30.28515625" defaultRowHeight="18.75" x14ac:dyDescent="0.25"/>
  <cols>
    <col min="1" max="1" width="6.140625" style="9" bestFit="1" customWidth="1"/>
    <col min="2" max="2" width="28.5703125" style="9" bestFit="1" customWidth="1"/>
    <col min="3" max="3" width="7" style="9" bestFit="1" customWidth="1"/>
    <col min="4" max="4" width="10.5703125" style="72" customWidth="1"/>
    <col min="5" max="5" width="8.28515625" style="72" bestFit="1" customWidth="1"/>
    <col min="6" max="6" width="16.42578125" style="72" customWidth="1"/>
    <col min="7" max="7" width="7" style="72" bestFit="1" customWidth="1"/>
    <col min="8" max="8" width="12.140625" style="72" bestFit="1" customWidth="1"/>
    <col min="9" max="9" width="8.28515625" style="72" bestFit="1" customWidth="1"/>
    <col min="10" max="10" width="16.85546875" style="72" customWidth="1"/>
    <col min="11" max="11" width="8.28515625" style="72" bestFit="1" customWidth="1"/>
    <col min="12" max="12" width="12.140625" style="72" bestFit="1" customWidth="1"/>
    <col min="13" max="13" width="8.28515625" style="72" bestFit="1" customWidth="1"/>
    <col min="14" max="14" width="20.42578125" style="72" customWidth="1"/>
    <col min="15" max="15" width="22.140625" style="72" customWidth="1"/>
    <col min="16" max="23" width="30.28515625" style="9"/>
    <col min="24" max="137" width="8.5703125" style="9" customWidth="1"/>
    <col min="138" max="16384" width="30.28515625" style="9"/>
  </cols>
  <sheetData>
    <row r="1" spans="1:24" s="2" customFormat="1" x14ac:dyDescent="0.3">
      <c r="A1" s="173" t="s">
        <v>274</v>
      </c>
      <c r="B1" s="173"/>
      <c r="C1" s="173"/>
      <c r="D1" s="173"/>
      <c r="E1" s="173"/>
      <c r="F1" s="173"/>
      <c r="G1" s="173"/>
      <c r="H1" s="173"/>
      <c r="I1" s="173"/>
      <c r="J1" s="173"/>
      <c r="K1" s="173"/>
      <c r="L1" s="173"/>
      <c r="M1" s="173"/>
      <c r="N1" s="173"/>
      <c r="O1" s="173"/>
      <c r="P1" s="8"/>
      <c r="Q1" s="8"/>
      <c r="R1" s="8"/>
      <c r="S1" s="8"/>
      <c r="T1" s="8"/>
      <c r="U1" s="8"/>
      <c r="V1" s="8"/>
      <c r="W1" s="8"/>
      <c r="X1" s="8"/>
    </row>
    <row r="2" spans="1:24" s="2" customFormat="1" ht="60" customHeight="1" x14ac:dyDescent="0.3">
      <c r="A2" s="174" t="s">
        <v>359</v>
      </c>
      <c r="B2" s="173"/>
      <c r="C2" s="173"/>
      <c r="D2" s="173"/>
      <c r="E2" s="173"/>
      <c r="F2" s="173"/>
      <c r="G2" s="173"/>
      <c r="H2" s="173"/>
      <c r="I2" s="173"/>
      <c r="J2" s="173"/>
      <c r="K2" s="173"/>
      <c r="L2" s="173"/>
      <c r="M2" s="173"/>
      <c r="N2" s="173"/>
      <c r="O2" s="173"/>
      <c r="P2" s="8"/>
      <c r="Q2" s="8"/>
      <c r="R2" s="8"/>
      <c r="S2" s="8"/>
      <c r="T2" s="8"/>
      <c r="U2" s="8"/>
      <c r="V2" s="8"/>
      <c r="W2" s="8"/>
      <c r="X2" s="8"/>
    </row>
    <row r="3" spans="1:24" s="3" customFormat="1" ht="10.5" customHeight="1" x14ac:dyDescent="0.3">
      <c r="A3" s="175"/>
      <c r="B3" s="175"/>
      <c r="C3" s="175"/>
      <c r="D3" s="175"/>
      <c r="E3" s="175"/>
      <c r="F3" s="175"/>
      <c r="G3" s="175"/>
      <c r="H3" s="175"/>
      <c r="I3" s="175"/>
      <c r="J3" s="175"/>
      <c r="K3" s="175"/>
      <c r="L3" s="175"/>
      <c r="M3" s="175"/>
      <c r="N3" s="175"/>
      <c r="O3" s="175"/>
      <c r="P3" s="13"/>
      <c r="Q3" s="13"/>
      <c r="R3" s="13"/>
      <c r="S3" s="13"/>
      <c r="T3" s="13"/>
      <c r="U3" s="13"/>
      <c r="V3" s="13"/>
      <c r="W3" s="13"/>
      <c r="X3" s="13"/>
    </row>
    <row r="4" spans="1:24" ht="9" customHeight="1" x14ac:dyDescent="0.25">
      <c r="E4" s="73"/>
    </row>
    <row r="5" spans="1:24" s="10" customFormat="1" ht="18.75" customHeight="1" x14ac:dyDescent="0.25">
      <c r="A5" s="178" t="s">
        <v>28</v>
      </c>
      <c r="B5" s="178" t="s">
        <v>29</v>
      </c>
      <c r="C5" s="178" t="s">
        <v>30</v>
      </c>
      <c r="D5" s="189" t="s">
        <v>31</v>
      </c>
      <c r="E5" s="178" t="s">
        <v>235</v>
      </c>
      <c r="F5" s="178"/>
      <c r="G5" s="178" t="s">
        <v>236</v>
      </c>
      <c r="H5" s="178"/>
      <c r="I5" s="178" t="s">
        <v>237</v>
      </c>
      <c r="J5" s="178"/>
      <c r="K5" s="178" t="s">
        <v>238</v>
      </c>
      <c r="L5" s="178"/>
      <c r="M5" s="178" t="s">
        <v>239</v>
      </c>
      <c r="N5" s="178"/>
      <c r="O5" s="189" t="s">
        <v>34</v>
      </c>
    </row>
    <row r="6" spans="1:24" s="10" customFormat="1" ht="56.25" x14ac:dyDescent="0.25">
      <c r="A6" s="178"/>
      <c r="B6" s="178"/>
      <c r="C6" s="178"/>
      <c r="D6" s="189"/>
      <c r="E6" s="11" t="s">
        <v>32</v>
      </c>
      <c r="F6" s="12" t="s">
        <v>33</v>
      </c>
      <c r="G6" s="11" t="s">
        <v>32</v>
      </c>
      <c r="H6" s="12" t="s">
        <v>33</v>
      </c>
      <c r="I6" s="11" t="s">
        <v>32</v>
      </c>
      <c r="J6" s="12" t="s">
        <v>33</v>
      </c>
      <c r="K6" s="11" t="s">
        <v>32</v>
      </c>
      <c r="L6" s="12" t="s">
        <v>33</v>
      </c>
      <c r="M6" s="11" t="s">
        <v>32</v>
      </c>
      <c r="N6" s="12" t="s">
        <v>33</v>
      </c>
      <c r="O6" s="178"/>
    </row>
    <row r="7" spans="1:24" x14ac:dyDescent="0.25">
      <c r="A7" s="11" t="s">
        <v>117</v>
      </c>
      <c r="B7" s="11" t="s">
        <v>193</v>
      </c>
      <c r="C7" s="11"/>
      <c r="D7" s="74"/>
      <c r="E7" s="75">
        <f>E39+E8+E45</f>
        <v>99</v>
      </c>
      <c r="F7" s="75">
        <f t="shared" ref="F7:N7" si="0">F39+F8+F45</f>
        <v>90585000</v>
      </c>
      <c r="G7" s="75">
        <f t="shared" si="0"/>
        <v>0</v>
      </c>
      <c r="H7" s="75">
        <f t="shared" si="0"/>
        <v>0</v>
      </c>
      <c r="I7" s="75">
        <f t="shared" si="0"/>
        <v>99</v>
      </c>
      <c r="J7" s="75">
        <f t="shared" si="0"/>
        <v>96020100</v>
      </c>
      <c r="K7" s="75">
        <f t="shared" si="0"/>
        <v>0</v>
      </c>
      <c r="L7" s="75">
        <f t="shared" si="0"/>
        <v>0</v>
      </c>
      <c r="M7" s="75">
        <f t="shared" si="0"/>
        <v>99</v>
      </c>
      <c r="N7" s="75">
        <f t="shared" si="0"/>
        <v>101455200</v>
      </c>
      <c r="O7" s="75">
        <f>O39+O8+O45</f>
        <v>288060300</v>
      </c>
    </row>
    <row r="8" spans="1:24" s="10" customFormat="1" ht="37.5" x14ac:dyDescent="0.25">
      <c r="A8" s="12" t="s">
        <v>35</v>
      </c>
      <c r="B8" s="12" t="s">
        <v>251</v>
      </c>
      <c r="C8" s="11"/>
      <c r="D8" s="74"/>
      <c r="E8" s="75">
        <f>E9+E15+E21+E27</f>
        <v>0</v>
      </c>
      <c r="F8" s="75">
        <f>SUBTOTAL(9,F9:F32)</f>
        <v>0</v>
      </c>
      <c r="G8" s="75">
        <f>G9+G15+G21+G27</f>
        <v>0</v>
      </c>
      <c r="H8" s="75">
        <f>SUBTOTAL(9,H9:H32)</f>
        <v>0</v>
      </c>
      <c r="I8" s="75">
        <f>I9+I15+I21+I27</f>
        <v>0</v>
      </c>
      <c r="J8" s="75">
        <f>SUBTOTAL(9,J9:J32)</f>
        <v>0</v>
      </c>
      <c r="K8" s="75">
        <f>K9+K15+K21+K27</f>
        <v>0</v>
      </c>
      <c r="L8" s="75">
        <f>SUBTOTAL(9,L9:L32)</f>
        <v>0</v>
      </c>
      <c r="M8" s="75">
        <f>M9+M15+M21+M27</f>
        <v>0</v>
      </c>
      <c r="N8" s="75">
        <f>SUBTOTAL(9,N9:N32)</f>
        <v>0</v>
      </c>
      <c r="O8" s="75">
        <f>SUBTOTAL(9,O9:O32)</f>
        <v>0</v>
      </c>
    </row>
    <row r="9" spans="1:24" s="10" customFormat="1" hidden="1" x14ac:dyDescent="0.25">
      <c r="A9" s="11">
        <v>1</v>
      </c>
      <c r="B9" s="11" t="s">
        <v>36</v>
      </c>
      <c r="C9" s="11"/>
      <c r="D9" s="74"/>
      <c r="E9" s="74">
        <v>0</v>
      </c>
      <c r="F9" s="75">
        <f>SUBTOTAL(9,F10:F14)</f>
        <v>0</v>
      </c>
      <c r="G9" s="74"/>
      <c r="H9" s="75">
        <f>SUBTOTAL(9,H10:H14)</f>
        <v>0</v>
      </c>
      <c r="I9" s="74">
        <f>E9</f>
        <v>0</v>
      </c>
      <c r="J9" s="75">
        <f>SUBTOTAL(9,J10:J14)</f>
        <v>0</v>
      </c>
      <c r="K9" s="74"/>
      <c r="L9" s="75">
        <f>SUBTOTAL(9,L10:L14)</f>
        <v>0</v>
      </c>
      <c r="M9" s="74">
        <f>E9</f>
        <v>0</v>
      </c>
      <c r="N9" s="75">
        <f>SUBTOTAL(9,N10:N14)</f>
        <v>0</v>
      </c>
      <c r="O9" s="75">
        <f>SUBTOTAL(9,O10:O14)</f>
        <v>0</v>
      </c>
    </row>
    <row r="10" spans="1:24" hidden="1" x14ac:dyDescent="0.25">
      <c r="A10" s="41"/>
      <c r="B10" s="42" t="s">
        <v>37</v>
      </c>
      <c r="C10" s="41" t="s">
        <v>60</v>
      </c>
      <c r="D10" s="76">
        <v>700000</v>
      </c>
      <c r="E10" s="77">
        <f>E$9</f>
        <v>0</v>
      </c>
      <c r="F10" s="78">
        <f>E10*D10</f>
        <v>0</v>
      </c>
      <c r="G10" s="78">
        <f>G9</f>
        <v>0</v>
      </c>
      <c r="H10" s="78">
        <f>G10*(D10+D10*3%)</f>
        <v>0</v>
      </c>
      <c r="I10" s="77">
        <f>I$9</f>
        <v>0</v>
      </c>
      <c r="J10" s="78">
        <f>I10*(D10+D10*6%)</f>
        <v>0</v>
      </c>
      <c r="K10" s="78">
        <f>K9</f>
        <v>0</v>
      </c>
      <c r="L10" s="78">
        <f>K10*(D10+D10*9%)</f>
        <v>0</v>
      </c>
      <c r="M10" s="77">
        <f>M$9</f>
        <v>0</v>
      </c>
      <c r="N10" s="78">
        <f>M10*(D10+D10*12%)</f>
        <v>0</v>
      </c>
      <c r="O10" s="78">
        <f>F10+H10+J10+L10+N10</f>
        <v>0</v>
      </c>
    </row>
    <row r="11" spans="1:24" hidden="1" x14ac:dyDescent="0.25">
      <c r="A11" s="41"/>
      <c r="B11" s="42" t="s">
        <v>249</v>
      </c>
      <c r="C11" s="41" t="s">
        <v>61</v>
      </c>
      <c r="D11" s="76">
        <v>78000</v>
      </c>
      <c r="E11" s="77">
        <f>E$9</f>
        <v>0</v>
      </c>
      <c r="F11" s="78">
        <f>E11*D11</f>
        <v>0</v>
      </c>
      <c r="G11" s="78">
        <f>G10</f>
        <v>0</v>
      </c>
      <c r="H11" s="78">
        <f>G11*(D11+D11*3%)</f>
        <v>0</v>
      </c>
      <c r="I11" s="77">
        <f>I$9</f>
        <v>0</v>
      </c>
      <c r="J11" s="78">
        <f>I11*(D11+D11*6%)</f>
        <v>0</v>
      </c>
      <c r="K11" s="78">
        <f>K10</f>
        <v>0</v>
      </c>
      <c r="L11" s="78">
        <f>K11*(D11+D11*9%)</f>
        <v>0</v>
      </c>
      <c r="M11" s="77">
        <f>M$9</f>
        <v>0</v>
      </c>
      <c r="N11" s="78">
        <f>M11*(D11+D11*12%)</f>
        <v>0</v>
      </c>
      <c r="O11" s="78">
        <f>F11+H11+J11+L11+N11</f>
        <v>0</v>
      </c>
    </row>
    <row r="12" spans="1:24" hidden="1" x14ac:dyDescent="0.25">
      <c r="A12" s="41"/>
      <c r="B12" s="42" t="s">
        <v>38</v>
      </c>
      <c r="C12" s="41" t="s">
        <v>62</v>
      </c>
      <c r="D12" s="76">
        <v>490000</v>
      </c>
      <c r="E12" s="77">
        <f>E$9</f>
        <v>0</v>
      </c>
      <c r="F12" s="78">
        <f>E12*D12</f>
        <v>0</v>
      </c>
      <c r="G12" s="78">
        <f>G11</f>
        <v>0</v>
      </c>
      <c r="H12" s="78">
        <f>G12*(D12+D12*3%)</f>
        <v>0</v>
      </c>
      <c r="I12" s="77">
        <f>I$9</f>
        <v>0</v>
      </c>
      <c r="J12" s="78">
        <f>I12*(D12+D12*6%)</f>
        <v>0</v>
      </c>
      <c r="K12" s="78">
        <f>K11</f>
        <v>0</v>
      </c>
      <c r="L12" s="78">
        <f>K12*(D12+D12*9%)</f>
        <v>0</v>
      </c>
      <c r="M12" s="77">
        <f>M$9</f>
        <v>0</v>
      </c>
      <c r="N12" s="78">
        <f>M12*(D12+D12*12%)</f>
        <v>0</v>
      </c>
      <c r="O12" s="78">
        <f>F12+H12+J12+L12+N12</f>
        <v>0</v>
      </c>
    </row>
    <row r="13" spans="1:24" hidden="1" x14ac:dyDescent="0.25">
      <c r="A13" s="41"/>
      <c r="B13" s="42" t="s">
        <v>40</v>
      </c>
      <c r="C13" s="41" t="s">
        <v>62</v>
      </c>
      <c r="D13" s="76">
        <v>35000</v>
      </c>
      <c r="E13" s="77">
        <f>E$9*2</f>
        <v>0</v>
      </c>
      <c r="F13" s="78">
        <f>E13*D13</f>
        <v>0</v>
      </c>
      <c r="G13" s="78">
        <f>G12</f>
        <v>0</v>
      </c>
      <c r="H13" s="78">
        <f>G13*(D13+D13*3%)</f>
        <v>0</v>
      </c>
      <c r="I13" s="77">
        <f>I$9</f>
        <v>0</v>
      </c>
      <c r="J13" s="78">
        <f>I13*(D13+D13*6%)</f>
        <v>0</v>
      </c>
      <c r="K13" s="78">
        <f>K12</f>
        <v>0</v>
      </c>
      <c r="L13" s="78">
        <f>K13*(D13+D13*9%)</f>
        <v>0</v>
      </c>
      <c r="M13" s="77">
        <f>M$9</f>
        <v>0</v>
      </c>
      <c r="N13" s="78">
        <f>M13*(D13+D13*12%)</f>
        <v>0</v>
      </c>
      <c r="O13" s="78">
        <f>F13+H13+J13+L13+N13</f>
        <v>0</v>
      </c>
    </row>
    <row r="14" spans="1:24" hidden="1" x14ac:dyDescent="0.25">
      <c r="A14" s="41"/>
      <c r="B14" s="42" t="s">
        <v>41</v>
      </c>
      <c r="C14" s="41" t="s">
        <v>61</v>
      </c>
      <c r="D14" s="76">
        <v>75000</v>
      </c>
      <c r="E14" s="77">
        <f>E$9</f>
        <v>0</v>
      </c>
      <c r="F14" s="78">
        <f>E14*D14</f>
        <v>0</v>
      </c>
      <c r="G14" s="78">
        <f>G13</f>
        <v>0</v>
      </c>
      <c r="H14" s="78">
        <f>G14*(D14+D14*3%)</f>
        <v>0</v>
      </c>
      <c r="I14" s="77">
        <f>I$9</f>
        <v>0</v>
      </c>
      <c r="J14" s="78">
        <f>I14*(D14+D14*6%)</f>
        <v>0</v>
      </c>
      <c r="K14" s="78">
        <f>K13</f>
        <v>0</v>
      </c>
      <c r="L14" s="78">
        <f>K14*(D14+D14*9%)</f>
        <v>0</v>
      </c>
      <c r="M14" s="77">
        <f>M$9</f>
        <v>0</v>
      </c>
      <c r="N14" s="78">
        <f>M14*(D14+D14*12%)</f>
        <v>0</v>
      </c>
      <c r="O14" s="78">
        <f>F14+H14+J14+L14+N14</f>
        <v>0</v>
      </c>
    </row>
    <row r="15" spans="1:24" s="10" customFormat="1" hidden="1" x14ac:dyDescent="0.25">
      <c r="A15" s="11">
        <v>2</v>
      </c>
      <c r="B15" s="11" t="s">
        <v>43</v>
      </c>
      <c r="C15" s="11"/>
      <c r="D15" s="74"/>
      <c r="E15" s="74">
        <f>E9</f>
        <v>0</v>
      </c>
      <c r="F15" s="75">
        <f>SUBTOTAL(9,F16:F20)</f>
        <v>0</v>
      </c>
      <c r="G15" s="74"/>
      <c r="H15" s="75">
        <f>SUBTOTAL(9,H16:H20)</f>
        <v>0</v>
      </c>
      <c r="I15" s="74">
        <f>I9</f>
        <v>0</v>
      </c>
      <c r="J15" s="75">
        <f>SUBTOTAL(9,J16:J20)</f>
        <v>0</v>
      </c>
      <c r="K15" s="74"/>
      <c r="L15" s="75">
        <f>SUBTOTAL(9,L16:L20)</f>
        <v>0</v>
      </c>
      <c r="M15" s="74">
        <f>M9</f>
        <v>0</v>
      </c>
      <c r="N15" s="75">
        <f>SUBTOTAL(9,N16:N20)</f>
        <v>0</v>
      </c>
      <c r="O15" s="75">
        <f>SUBTOTAL(9,O16:O20)</f>
        <v>0</v>
      </c>
    </row>
    <row r="16" spans="1:24" hidden="1" x14ac:dyDescent="0.25">
      <c r="A16" s="41"/>
      <c r="B16" s="42" t="s">
        <v>37</v>
      </c>
      <c r="C16" s="41" t="s">
        <v>60</v>
      </c>
      <c r="D16" s="76">
        <v>700000</v>
      </c>
      <c r="E16" s="77">
        <f>E$15</f>
        <v>0</v>
      </c>
      <c r="F16" s="78">
        <f>E16*D16</f>
        <v>0</v>
      </c>
      <c r="G16" s="78"/>
      <c r="H16" s="78">
        <f>G16*(D16+D16*3%)</f>
        <v>0</v>
      </c>
      <c r="I16" s="78">
        <f>I15</f>
        <v>0</v>
      </c>
      <c r="J16" s="78">
        <f>I16*(D16+D16*6%)</f>
        <v>0</v>
      </c>
      <c r="K16" s="78">
        <v>0</v>
      </c>
      <c r="L16" s="78">
        <f>K16*(D16+D16*9%)</f>
        <v>0</v>
      </c>
      <c r="M16" s="78">
        <f>M15</f>
        <v>0</v>
      </c>
      <c r="N16" s="78">
        <f>M16*(D16+D16*12%)</f>
        <v>0</v>
      </c>
      <c r="O16" s="78">
        <f>F16+H16+J16+L16+N16</f>
        <v>0</v>
      </c>
    </row>
    <row r="17" spans="1:15" hidden="1" x14ac:dyDescent="0.25">
      <c r="A17" s="41"/>
      <c r="B17" s="42" t="s">
        <v>249</v>
      </c>
      <c r="C17" s="41" t="s">
        <v>61</v>
      </c>
      <c r="D17" s="76">
        <v>78000</v>
      </c>
      <c r="E17" s="77">
        <f>E$15</f>
        <v>0</v>
      </c>
      <c r="F17" s="78">
        <f>E17*D17</f>
        <v>0</v>
      </c>
      <c r="G17" s="78"/>
      <c r="H17" s="78">
        <f>G17*(D17+D17*3%)</f>
        <v>0</v>
      </c>
      <c r="I17" s="78">
        <f>E17</f>
        <v>0</v>
      </c>
      <c r="J17" s="78">
        <f>I17*(D17+D17*6%)</f>
        <v>0</v>
      </c>
      <c r="K17" s="78"/>
      <c r="L17" s="78">
        <f>K17*(D17+D17*9%)</f>
        <v>0</v>
      </c>
      <c r="M17" s="78">
        <f>E17</f>
        <v>0</v>
      </c>
      <c r="N17" s="78">
        <f>M17*(D17+D17*12%)</f>
        <v>0</v>
      </c>
      <c r="O17" s="78">
        <f>F17+H17+J17+L17+N17</f>
        <v>0</v>
      </c>
    </row>
    <row r="18" spans="1:15" hidden="1" x14ac:dyDescent="0.25">
      <c r="A18" s="41"/>
      <c r="B18" s="42" t="s">
        <v>38</v>
      </c>
      <c r="C18" s="41" t="s">
        <v>62</v>
      </c>
      <c r="D18" s="76">
        <v>490000</v>
      </c>
      <c r="E18" s="77">
        <f>E$15</f>
        <v>0</v>
      </c>
      <c r="F18" s="78">
        <f>E18*D18</f>
        <v>0</v>
      </c>
      <c r="G18" s="78"/>
      <c r="H18" s="78">
        <f>G18*(D18+D18*3%)</f>
        <v>0</v>
      </c>
      <c r="I18" s="78">
        <f>I15</f>
        <v>0</v>
      </c>
      <c r="J18" s="78">
        <f>I18*(D18+D18*6%)</f>
        <v>0</v>
      </c>
      <c r="K18" s="78">
        <v>0</v>
      </c>
      <c r="L18" s="78">
        <f>K18*(D18+D18*9%)</f>
        <v>0</v>
      </c>
      <c r="M18" s="78">
        <f>M15</f>
        <v>0</v>
      </c>
      <c r="N18" s="78">
        <f>M18*(D18+D18*12%)</f>
        <v>0</v>
      </c>
      <c r="O18" s="78">
        <f>F18+H18+J18+L18+N18</f>
        <v>0</v>
      </c>
    </row>
    <row r="19" spans="1:15" hidden="1" x14ac:dyDescent="0.25">
      <c r="A19" s="41"/>
      <c r="B19" s="42" t="s">
        <v>40</v>
      </c>
      <c r="C19" s="41" t="s">
        <v>62</v>
      </c>
      <c r="D19" s="76">
        <v>35000</v>
      </c>
      <c r="E19" s="77">
        <f>E$15*2</f>
        <v>0</v>
      </c>
      <c r="F19" s="78">
        <f>E19*D19</f>
        <v>0</v>
      </c>
      <c r="G19" s="78"/>
      <c r="H19" s="78">
        <f>G19*(D19+D19*3%)</f>
        <v>0</v>
      </c>
      <c r="I19" s="78">
        <f>I15*2</f>
        <v>0</v>
      </c>
      <c r="J19" s="78">
        <f>I19*(D19+D19*6%)</f>
        <v>0</v>
      </c>
      <c r="K19" s="78"/>
      <c r="L19" s="78">
        <f>K19*(D19+D19*9%)</f>
        <v>0</v>
      </c>
      <c r="M19" s="78">
        <f>M15*2</f>
        <v>0</v>
      </c>
      <c r="N19" s="78">
        <f>M19*(D19+D19*12%)</f>
        <v>0</v>
      </c>
      <c r="O19" s="78">
        <f>F19+H19+J19+L19+N19</f>
        <v>0</v>
      </c>
    </row>
    <row r="20" spans="1:15" hidden="1" x14ac:dyDescent="0.25">
      <c r="A20" s="41"/>
      <c r="B20" s="42" t="s">
        <v>41</v>
      </c>
      <c r="C20" s="41" t="s">
        <v>61</v>
      </c>
      <c r="D20" s="76">
        <v>75000</v>
      </c>
      <c r="E20" s="77">
        <f>E$15</f>
        <v>0</v>
      </c>
      <c r="F20" s="78">
        <f>E20*D20</f>
        <v>0</v>
      </c>
      <c r="G20" s="78"/>
      <c r="H20" s="78">
        <f>G20*(D20+D20*3%)</f>
        <v>0</v>
      </c>
      <c r="I20" s="78">
        <f>E20</f>
        <v>0</v>
      </c>
      <c r="J20" s="78">
        <f>I20*(D20+D20*6%)</f>
        <v>0</v>
      </c>
      <c r="K20" s="78"/>
      <c r="L20" s="78">
        <f>K20*(D20+D20*9%)</f>
        <v>0</v>
      </c>
      <c r="M20" s="78">
        <f>E20</f>
        <v>0</v>
      </c>
      <c r="N20" s="78">
        <f>M20*(D20+D20*12%)</f>
        <v>0</v>
      </c>
      <c r="O20" s="78">
        <f>F20+H20+J20+L20+N20</f>
        <v>0</v>
      </c>
    </row>
    <row r="21" spans="1:15" s="10" customFormat="1" hidden="1" x14ac:dyDescent="0.25">
      <c r="A21" s="11">
        <v>3</v>
      </c>
      <c r="B21" s="11" t="s">
        <v>44</v>
      </c>
      <c r="C21" s="11"/>
      <c r="D21" s="74"/>
      <c r="E21" s="74">
        <f>E9</f>
        <v>0</v>
      </c>
      <c r="F21" s="75">
        <f>SUBTOTAL(9,F22:F26)</f>
        <v>0</v>
      </c>
      <c r="G21" s="74"/>
      <c r="H21" s="75">
        <f>SUBTOTAL(9,H22:H26)</f>
        <v>0</v>
      </c>
      <c r="I21" s="74">
        <f>E21</f>
        <v>0</v>
      </c>
      <c r="J21" s="75">
        <f>SUBTOTAL(9,J22:J26)</f>
        <v>0</v>
      </c>
      <c r="K21" s="74"/>
      <c r="L21" s="75">
        <f>SUBTOTAL(9,L22:L26)</f>
        <v>0</v>
      </c>
      <c r="M21" s="74">
        <f>E21</f>
        <v>0</v>
      </c>
      <c r="N21" s="75">
        <f>SUBTOTAL(9,N22:N26)</f>
        <v>0</v>
      </c>
      <c r="O21" s="75">
        <f>SUBTOTAL(9,O22:O26)</f>
        <v>0</v>
      </c>
    </row>
    <row r="22" spans="1:15" hidden="1" x14ac:dyDescent="0.25">
      <c r="A22" s="41"/>
      <c r="B22" s="42" t="s">
        <v>37</v>
      </c>
      <c r="C22" s="41" t="s">
        <v>60</v>
      </c>
      <c r="D22" s="76">
        <v>700000</v>
      </c>
      <c r="E22" s="77">
        <f>E$21</f>
        <v>0</v>
      </c>
      <c r="F22" s="78">
        <f>E22*D22</f>
        <v>0</v>
      </c>
      <c r="G22" s="78"/>
      <c r="H22" s="78">
        <f>G22*(D22+D22*3%)</f>
        <v>0</v>
      </c>
      <c r="I22" s="78">
        <f>I$21</f>
        <v>0</v>
      </c>
      <c r="J22" s="78">
        <f>I22*(D22+D22*6%)</f>
        <v>0</v>
      </c>
      <c r="K22" s="78"/>
      <c r="L22" s="78">
        <f>K22*(D22+D22*9%)</f>
        <v>0</v>
      </c>
      <c r="M22" s="78">
        <f>M$21</f>
        <v>0</v>
      </c>
      <c r="N22" s="78">
        <f>M22*(D22+D22*12%)</f>
        <v>0</v>
      </c>
      <c r="O22" s="78">
        <f>F22+H22+J22+L22+N22</f>
        <v>0</v>
      </c>
    </row>
    <row r="23" spans="1:15" hidden="1" x14ac:dyDescent="0.25">
      <c r="A23" s="41"/>
      <c r="B23" s="42" t="s">
        <v>249</v>
      </c>
      <c r="C23" s="41" t="s">
        <v>61</v>
      </c>
      <c r="D23" s="76">
        <v>78000</v>
      </c>
      <c r="E23" s="77">
        <f>E$21</f>
        <v>0</v>
      </c>
      <c r="F23" s="78">
        <f>E23*D23</f>
        <v>0</v>
      </c>
      <c r="G23" s="78"/>
      <c r="H23" s="78">
        <f>G23*(D23+D23*3%)</f>
        <v>0</v>
      </c>
      <c r="I23" s="78">
        <f>I$21</f>
        <v>0</v>
      </c>
      <c r="J23" s="78">
        <f>I23*(D23+D23*6%)</f>
        <v>0</v>
      </c>
      <c r="K23" s="78"/>
      <c r="L23" s="78">
        <f>K23*(D23+D23*9%)</f>
        <v>0</v>
      </c>
      <c r="M23" s="78">
        <f>M$21</f>
        <v>0</v>
      </c>
      <c r="N23" s="78">
        <f>M23*(D23+D23*12%)</f>
        <v>0</v>
      </c>
      <c r="O23" s="78">
        <f>F23+H23+J23+L23+N23</f>
        <v>0</v>
      </c>
    </row>
    <row r="24" spans="1:15" hidden="1" x14ac:dyDescent="0.25">
      <c r="A24" s="41"/>
      <c r="B24" s="42" t="s">
        <v>38</v>
      </c>
      <c r="C24" s="41" t="s">
        <v>62</v>
      </c>
      <c r="D24" s="76">
        <v>490000</v>
      </c>
      <c r="E24" s="77">
        <f>E$21</f>
        <v>0</v>
      </c>
      <c r="F24" s="78">
        <f>E24*D24</f>
        <v>0</v>
      </c>
      <c r="G24" s="78"/>
      <c r="H24" s="78">
        <f>G24*(D24+D24*3%)</f>
        <v>0</v>
      </c>
      <c r="I24" s="78">
        <f>I$21</f>
        <v>0</v>
      </c>
      <c r="J24" s="78">
        <f>I24*(D24+D24*6%)</f>
        <v>0</v>
      </c>
      <c r="K24" s="78"/>
      <c r="L24" s="78">
        <f>K24*(D24+D24*9%)</f>
        <v>0</v>
      </c>
      <c r="M24" s="78">
        <f>M$21</f>
        <v>0</v>
      </c>
      <c r="N24" s="78">
        <f>M24*(D24+D24*12%)</f>
        <v>0</v>
      </c>
      <c r="O24" s="78">
        <f>F24+H24+J24+L24+N24</f>
        <v>0</v>
      </c>
    </row>
    <row r="25" spans="1:15" hidden="1" x14ac:dyDescent="0.25">
      <c r="A25" s="41"/>
      <c r="B25" s="42" t="s">
        <v>40</v>
      </c>
      <c r="C25" s="41" t="s">
        <v>62</v>
      </c>
      <c r="D25" s="76">
        <v>35000</v>
      </c>
      <c r="E25" s="77">
        <f>E$21*2</f>
        <v>0</v>
      </c>
      <c r="F25" s="78">
        <f>E25*D25</f>
        <v>0</v>
      </c>
      <c r="G25" s="78"/>
      <c r="H25" s="78">
        <f>G25*(D25+D25*3%)</f>
        <v>0</v>
      </c>
      <c r="I25" s="78">
        <f>I$21*2</f>
        <v>0</v>
      </c>
      <c r="J25" s="78">
        <f>I25*(D25+D25*6%)</f>
        <v>0</v>
      </c>
      <c r="K25" s="78"/>
      <c r="L25" s="78">
        <f>K25*(D25+D25*9%)</f>
        <v>0</v>
      </c>
      <c r="M25" s="78">
        <f>M$21*2</f>
        <v>0</v>
      </c>
      <c r="N25" s="78">
        <f>M25*(D25+D25*12%)</f>
        <v>0</v>
      </c>
      <c r="O25" s="78">
        <f>F25+H25+J25+L25+N25</f>
        <v>0</v>
      </c>
    </row>
    <row r="26" spans="1:15" hidden="1" x14ac:dyDescent="0.25">
      <c r="A26" s="41"/>
      <c r="B26" s="42" t="s">
        <v>41</v>
      </c>
      <c r="C26" s="41" t="s">
        <v>61</v>
      </c>
      <c r="D26" s="76">
        <v>75000</v>
      </c>
      <c r="E26" s="77">
        <f>E$21</f>
        <v>0</v>
      </c>
      <c r="F26" s="78">
        <f>E26*D26</f>
        <v>0</v>
      </c>
      <c r="G26" s="78"/>
      <c r="H26" s="78">
        <f>G26*(D26+D26*3%)</f>
        <v>0</v>
      </c>
      <c r="I26" s="78">
        <f>I$21</f>
        <v>0</v>
      </c>
      <c r="J26" s="78">
        <f>I26*(D26+D26*6%)</f>
        <v>0</v>
      </c>
      <c r="K26" s="78"/>
      <c r="L26" s="78">
        <f>K26*(D26+D26*9%)</f>
        <v>0</v>
      </c>
      <c r="M26" s="78">
        <f>M$21</f>
        <v>0</v>
      </c>
      <c r="N26" s="78">
        <f>M26*(D26+D26*12%)</f>
        <v>0</v>
      </c>
      <c r="O26" s="78">
        <f>F26+H26+J26+L26+N26</f>
        <v>0</v>
      </c>
    </row>
    <row r="27" spans="1:15" s="10" customFormat="1" hidden="1" x14ac:dyDescent="0.25">
      <c r="A27" s="11">
        <v>4</v>
      </c>
      <c r="B27" s="11" t="s">
        <v>45</v>
      </c>
      <c r="C27" s="11"/>
      <c r="D27" s="74"/>
      <c r="E27" s="74">
        <f>E15</f>
        <v>0</v>
      </c>
      <c r="F27" s="75">
        <f>SUBTOTAL(9,F28:F32)</f>
        <v>0</v>
      </c>
      <c r="G27" s="74"/>
      <c r="H27" s="75">
        <f>SUBTOTAL(9,H28:H32)</f>
        <v>0</v>
      </c>
      <c r="I27" s="74">
        <f>E27</f>
        <v>0</v>
      </c>
      <c r="J27" s="75">
        <f>SUBTOTAL(9,J28:J32)</f>
        <v>0</v>
      </c>
      <c r="K27" s="74"/>
      <c r="L27" s="75">
        <f>SUBTOTAL(9,L28:L32)</f>
        <v>0</v>
      </c>
      <c r="M27" s="74">
        <f>E27</f>
        <v>0</v>
      </c>
      <c r="N27" s="75">
        <f>SUBTOTAL(9,N28:N32)</f>
        <v>0</v>
      </c>
      <c r="O27" s="75">
        <f>SUBTOTAL(9,O28:O32)</f>
        <v>0</v>
      </c>
    </row>
    <row r="28" spans="1:15" hidden="1" x14ac:dyDescent="0.25">
      <c r="A28" s="41"/>
      <c r="B28" s="42" t="s">
        <v>37</v>
      </c>
      <c r="C28" s="41" t="s">
        <v>60</v>
      </c>
      <c r="D28" s="76">
        <v>700000</v>
      </c>
      <c r="E28" s="77">
        <f>$E$27</f>
        <v>0</v>
      </c>
      <c r="F28" s="78">
        <f>E28*D28</f>
        <v>0</v>
      </c>
      <c r="G28" s="78"/>
      <c r="H28" s="78">
        <f>G28*(D28+D28*3%)</f>
        <v>0</v>
      </c>
      <c r="I28" s="78">
        <f>I27</f>
        <v>0</v>
      </c>
      <c r="J28" s="78">
        <f>I28*(D28+D28*6%)</f>
        <v>0</v>
      </c>
      <c r="K28" s="78">
        <v>0</v>
      </c>
      <c r="L28" s="78">
        <f>K28*(D28+D28*9%)</f>
        <v>0</v>
      </c>
      <c r="M28" s="78">
        <f>M27</f>
        <v>0</v>
      </c>
      <c r="N28" s="78">
        <f>M28*(D28+D28*12%)</f>
        <v>0</v>
      </c>
      <c r="O28" s="78">
        <f>F28+H28+J28+L28+N28</f>
        <v>0</v>
      </c>
    </row>
    <row r="29" spans="1:15" hidden="1" x14ac:dyDescent="0.25">
      <c r="A29" s="41"/>
      <c r="B29" s="42" t="s">
        <v>249</v>
      </c>
      <c r="C29" s="41" t="s">
        <v>61</v>
      </c>
      <c r="D29" s="76">
        <v>78000</v>
      </c>
      <c r="E29" s="77">
        <f>$E$27</f>
        <v>0</v>
      </c>
      <c r="F29" s="78">
        <f>E29*D29</f>
        <v>0</v>
      </c>
      <c r="G29" s="78"/>
      <c r="H29" s="78">
        <f>G29*(D29+D29*3%)</f>
        <v>0</v>
      </c>
      <c r="I29" s="78">
        <f>I28</f>
        <v>0</v>
      </c>
      <c r="J29" s="78">
        <f>I29*(D29+D29*6%)</f>
        <v>0</v>
      </c>
      <c r="K29" s="78">
        <f>K27</f>
        <v>0</v>
      </c>
      <c r="L29" s="78">
        <f>K29*(D29+D29*9%)</f>
        <v>0</v>
      </c>
      <c r="M29" s="78">
        <f>E29</f>
        <v>0</v>
      </c>
      <c r="N29" s="78">
        <f>M29*(D29+D29*12%)</f>
        <v>0</v>
      </c>
      <c r="O29" s="78">
        <f>F29+H29+J29+L29+N29</f>
        <v>0</v>
      </c>
    </row>
    <row r="30" spans="1:15" hidden="1" x14ac:dyDescent="0.25">
      <c r="A30" s="41"/>
      <c r="B30" s="42" t="s">
        <v>38</v>
      </c>
      <c r="C30" s="41" t="s">
        <v>62</v>
      </c>
      <c r="D30" s="76">
        <v>490000</v>
      </c>
      <c r="E30" s="77">
        <f>$E$27</f>
        <v>0</v>
      </c>
      <c r="F30" s="78">
        <f>E30*D30</f>
        <v>0</v>
      </c>
      <c r="G30" s="78"/>
      <c r="H30" s="78">
        <f>G30*(D30+D30*3%)</f>
        <v>0</v>
      </c>
      <c r="I30" s="78">
        <f>I27</f>
        <v>0</v>
      </c>
      <c r="J30" s="78">
        <f>I30*(D30+D30*6%)</f>
        <v>0</v>
      </c>
      <c r="K30" s="78">
        <v>0</v>
      </c>
      <c r="L30" s="78">
        <f>K30*(D30+D30*9%)</f>
        <v>0</v>
      </c>
      <c r="M30" s="78">
        <f>M27</f>
        <v>0</v>
      </c>
      <c r="N30" s="78">
        <f>M30*(D30+D30*12%)</f>
        <v>0</v>
      </c>
      <c r="O30" s="78">
        <f>F30+H30+J30+L30+N30</f>
        <v>0</v>
      </c>
    </row>
    <row r="31" spans="1:15" hidden="1" x14ac:dyDescent="0.25">
      <c r="A31" s="41"/>
      <c r="B31" s="42" t="s">
        <v>40</v>
      </c>
      <c r="C31" s="41" t="s">
        <v>62</v>
      </c>
      <c r="D31" s="76">
        <v>35000</v>
      </c>
      <c r="E31" s="77">
        <f>$E$27*2</f>
        <v>0</v>
      </c>
      <c r="F31" s="78">
        <f>E31*D31</f>
        <v>0</v>
      </c>
      <c r="G31" s="78"/>
      <c r="H31" s="78">
        <f>G31*(D31+D31*3%)</f>
        <v>0</v>
      </c>
      <c r="I31" s="78">
        <f>I27*2</f>
        <v>0</v>
      </c>
      <c r="J31" s="78">
        <f>I31*(D31+D31*6%)</f>
        <v>0</v>
      </c>
      <c r="K31" s="78"/>
      <c r="L31" s="78">
        <f>K31*(D31+D31*9%)</f>
        <v>0</v>
      </c>
      <c r="M31" s="78">
        <f>M27*2</f>
        <v>0</v>
      </c>
      <c r="N31" s="78">
        <f>M31*(D31+D31*12%)</f>
        <v>0</v>
      </c>
      <c r="O31" s="78">
        <f>F31+H31+J31+L31+N31</f>
        <v>0</v>
      </c>
    </row>
    <row r="32" spans="1:15" hidden="1" x14ac:dyDescent="0.25">
      <c r="A32" s="41"/>
      <c r="B32" s="42" t="s">
        <v>41</v>
      </c>
      <c r="C32" s="41" t="s">
        <v>61</v>
      </c>
      <c r="D32" s="76">
        <v>75000</v>
      </c>
      <c r="E32" s="77">
        <f>$E$27</f>
        <v>0</v>
      </c>
      <c r="F32" s="78">
        <f>E32*D32</f>
        <v>0</v>
      </c>
      <c r="G32" s="78"/>
      <c r="H32" s="78">
        <f>G32*(D32+D32*3%)</f>
        <v>0</v>
      </c>
      <c r="I32" s="78">
        <f>E32</f>
        <v>0</v>
      </c>
      <c r="J32" s="78">
        <f>I32*(D32+D32*6%)</f>
        <v>0</v>
      </c>
      <c r="K32" s="78">
        <f>K27</f>
        <v>0</v>
      </c>
      <c r="L32" s="78">
        <f>K32*(D32+D32*9%)</f>
        <v>0</v>
      </c>
      <c r="M32" s="78">
        <f>E32</f>
        <v>0</v>
      </c>
      <c r="N32" s="78">
        <f>M32*(D32+D32*12%)</f>
        <v>0</v>
      </c>
      <c r="O32" s="78">
        <f>F32+H32+J32+L32+N32</f>
        <v>0</v>
      </c>
    </row>
    <row r="33" spans="1:15" s="10" customFormat="1" ht="37.5" hidden="1" x14ac:dyDescent="0.25">
      <c r="A33" s="11" t="s">
        <v>47</v>
      </c>
      <c r="B33" s="12" t="s">
        <v>320</v>
      </c>
      <c r="C33" s="11"/>
      <c r="D33" s="74"/>
      <c r="E33" s="74">
        <v>0</v>
      </c>
      <c r="F33" s="75">
        <f>SUBTOTAL(9,F34:F38)</f>
        <v>0</v>
      </c>
      <c r="G33" s="74"/>
      <c r="H33" s="75">
        <f>SUBTOTAL(9,H34:H38)</f>
        <v>0</v>
      </c>
      <c r="I33" s="74">
        <f>E33</f>
        <v>0</v>
      </c>
      <c r="J33" s="75">
        <f>SUBTOTAL(9,J34:J38)</f>
        <v>0</v>
      </c>
      <c r="K33" s="74"/>
      <c r="L33" s="75">
        <f>SUBTOTAL(9,L34:L38)</f>
        <v>0</v>
      </c>
      <c r="M33" s="74">
        <f>E33</f>
        <v>0</v>
      </c>
      <c r="N33" s="75">
        <f>SUBTOTAL(9,N34:N38)</f>
        <v>0</v>
      </c>
      <c r="O33" s="75">
        <f>SUBTOTAL(9,O34:O38)</f>
        <v>0</v>
      </c>
    </row>
    <row r="34" spans="1:15" hidden="1" x14ac:dyDescent="0.25">
      <c r="A34" s="41"/>
      <c r="B34" s="42" t="s">
        <v>37</v>
      </c>
      <c r="C34" s="41" t="s">
        <v>60</v>
      </c>
      <c r="D34" s="76">
        <v>700000</v>
      </c>
      <c r="E34" s="77">
        <f>$E$33</f>
        <v>0</v>
      </c>
      <c r="F34" s="78">
        <f>E34*D34</f>
        <v>0</v>
      </c>
      <c r="G34" s="78"/>
      <c r="H34" s="78">
        <f>G34*(D34+D34*3%)</f>
        <v>0</v>
      </c>
      <c r="I34" s="77">
        <f>$E$33</f>
        <v>0</v>
      </c>
      <c r="J34" s="78">
        <f>I34*(D34+D34*6%)</f>
        <v>0</v>
      </c>
      <c r="K34" s="78"/>
      <c r="L34" s="78">
        <f>K34*(D34+D34*9%)</f>
        <v>0</v>
      </c>
      <c r="M34" s="77">
        <f>$E$33</f>
        <v>0</v>
      </c>
      <c r="N34" s="78">
        <f>M34*(D34+D34*12%)</f>
        <v>0</v>
      </c>
      <c r="O34" s="78">
        <f>F34+H34+J34+L34+N34</f>
        <v>0</v>
      </c>
    </row>
    <row r="35" spans="1:15" hidden="1" x14ac:dyDescent="0.25">
      <c r="A35" s="41"/>
      <c r="B35" s="42" t="s">
        <v>249</v>
      </c>
      <c r="C35" s="41" t="s">
        <v>61</v>
      </c>
      <c r="D35" s="76">
        <v>78000</v>
      </c>
      <c r="E35" s="77">
        <f>$E$33</f>
        <v>0</v>
      </c>
      <c r="F35" s="78">
        <f>E35*D35</f>
        <v>0</v>
      </c>
      <c r="G35" s="78"/>
      <c r="H35" s="78">
        <f>G35*(D35+D35*3%)</f>
        <v>0</v>
      </c>
      <c r="I35" s="77">
        <f>$E$33</f>
        <v>0</v>
      </c>
      <c r="J35" s="78">
        <f>I35*(D35+D35*6%)</f>
        <v>0</v>
      </c>
      <c r="K35" s="78"/>
      <c r="L35" s="78">
        <f>K35*(D35+D35*9%)</f>
        <v>0</v>
      </c>
      <c r="M35" s="77">
        <f>$E$33</f>
        <v>0</v>
      </c>
      <c r="N35" s="78">
        <f>M35*(D35+D35*12%)</f>
        <v>0</v>
      </c>
      <c r="O35" s="78">
        <f>F35+H35+J35+L35+N35</f>
        <v>0</v>
      </c>
    </row>
    <row r="36" spans="1:15" hidden="1" x14ac:dyDescent="0.25">
      <c r="A36" s="41"/>
      <c r="B36" s="42" t="s">
        <v>38</v>
      </c>
      <c r="C36" s="41" t="s">
        <v>62</v>
      </c>
      <c r="D36" s="76">
        <v>490000</v>
      </c>
      <c r="E36" s="77">
        <f>$E$33</f>
        <v>0</v>
      </c>
      <c r="F36" s="78">
        <f>E36*D36</f>
        <v>0</v>
      </c>
      <c r="G36" s="78"/>
      <c r="H36" s="78">
        <f>G36*(D36+D36*3%)</f>
        <v>0</v>
      </c>
      <c r="I36" s="77">
        <f>$E$33</f>
        <v>0</v>
      </c>
      <c r="J36" s="78">
        <f>I36*(D36+D36*6%)</f>
        <v>0</v>
      </c>
      <c r="K36" s="78"/>
      <c r="L36" s="78">
        <f>K36*(D36+D36*9%)</f>
        <v>0</v>
      </c>
      <c r="M36" s="77">
        <f>$E$33</f>
        <v>0</v>
      </c>
      <c r="N36" s="78">
        <f>M36*(D36+D36*12%)</f>
        <v>0</v>
      </c>
      <c r="O36" s="78">
        <f>F36+H36+J36+L36+N36</f>
        <v>0</v>
      </c>
    </row>
    <row r="37" spans="1:15" hidden="1" x14ac:dyDescent="0.25">
      <c r="A37" s="41"/>
      <c r="B37" s="42" t="s">
        <v>40</v>
      </c>
      <c r="C37" s="41" t="s">
        <v>62</v>
      </c>
      <c r="D37" s="76">
        <v>35000</v>
      </c>
      <c r="E37" s="77">
        <f>$E$33*2</f>
        <v>0</v>
      </c>
      <c r="F37" s="78">
        <f>E37*D37</f>
        <v>0</v>
      </c>
      <c r="G37" s="78"/>
      <c r="H37" s="78">
        <f>G37*(D37+D37*3%)</f>
        <v>0</v>
      </c>
      <c r="I37" s="77">
        <f>$E$33*2</f>
        <v>0</v>
      </c>
      <c r="J37" s="78">
        <f>I37*(D37+D37*6%)</f>
        <v>0</v>
      </c>
      <c r="K37" s="78"/>
      <c r="L37" s="78">
        <f>K37*(D37+D37*9%)</f>
        <v>0</v>
      </c>
      <c r="M37" s="77">
        <f>$E$33*2</f>
        <v>0</v>
      </c>
      <c r="N37" s="78">
        <f>M37*(D37+D37*12%)</f>
        <v>0</v>
      </c>
      <c r="O37" s="78">
        <f>F37+H37+J37+L37+N37</f>
        <v>0</v>
      </c>
    </row>
    <row r="38" spans="1:15" hidden="1" x14ac:dyDescent="0.25">
      <c r="A38" s="41"/>
      <c r="B38" s="42" t="s">
        <v>41</v>
      </c>
      <c r="C38" s="41" t="s">
        <v>61</v>
      </c>
      <c r="D38" s="76">
        <v>75000</v>
      </c>
      <c r="E38" s="77">
        <f>$E$33</f>
        <v>0</v>
      </c>
      <c r="F38" s="78">
        <f>E38*D38</f>
        <v>0</v>
      </c>
      <c r="G38" s="78"/>
      <c r="H38" s="78">
        <f>G38*(D38+D38*3%)</f>
        <v>0</v>
      </c>
      <c r="I38" s="77">
        <f>$E$33</f>
        <v>0</v>
      </c>
      <c r="J38" s="78">
        <f>I38*(D38+D38*6%)</f>
        <v>0</v>
      </c>
      <c r="K38" s="78"/>
      <c r="L38" s="78">
        <f>K38*(D38+D38*9%)</f>
        <v>0</v>
      </c>
      <c r="M38" s="77">
        <f>$E$33</f>
        <v>0</v>
      </c>
      <c r="N38" s="78">
        <f>M38*(D38+D38*12%)</f>
        <v>0</v>
      </c>
      <c r="O38" s="78">
        <f>F38+H38+J38+L38+N38</f>
        <v>0</v>
      </c>
    </row>
    <row r="39" spans="1:15" s="10" customFormat="1" ht="37.5" x14ac:dyDescent="0.25">
      <c r="A39" s="11" t="s">
        <v>47</v>
      </c>
      <c r="B39" s="12" t="s">
        <v>252</v>
      </c>
      <c r="C39" s="11"/>
      <c r="D39" s="74"/>
      <c r="E39" s="74">
        <v>0</v>
      </c>
      <c r="F39" s="75">
        <f>SUBTOTAL(9,F40:F44)</f>
        <v>0</v>
      </c>
      <c r="G39" s="74"/>
      <c r="H39" s="75">
        <f>SUBTOTAL(9,H40:H44)</f>
        <v>0</v>
      </c>
      <c r="I39" s="74">
        <f>E39</f>
        <v>0</v>
      </c>
      <c r="J39" s="75">
        <f>SUBTOTAL(9,J40:J44)</f>
        <v>0</v>
      </c>
      <c r="K39" s="74"/>
      <c r="L39" s="75">
        <f>SUBTOTAL(9,L40:L44)</f>
        <v>0</v>
      </c>
      <c r="M39" s="74">
        <f>E39</f>
        <v>0</v>
      </c>
      <c r="N39" s="75">
        <f>SUBTOTAL(9,N40:N44)</f>
        <v>0</v>
      </c>
      <c r="O39" s="75">
        <f>SUBTOTAL(9,O40:O44)</f>
        <v>0</v>
      </c>
    </row>
    <row r="40" spans="1:15" x14ac:dyDescent="0.25">
      <c r="A40" s="41"/>
      <c r="B40" s="42" t="s">
        <v>37</v>
      </c>
      <c r="C40" s="41" t="s">
        <v>60</v>
      </c>
      <c r="D40" s="76">
        <v>700000</v>
      </c>
      <c r="E40" s="77">
        <f>$E$39</f>
        <v>0</v>
      </c>
      <c r="F40" s="78">
        <f>E40*D40</f>
        <v>0</v>
      </c>
      <c r="G40" s="78"/>
      <c r="H40" s="78">
        <f>G40*(D40+D40*3%)</f>
        <v>0</v>
      </c>
      <c r="I40" s="78">
        <f>$I$39</f>
        <v>0</v>
      </c>
      <c r="J40" s="78">
        <f>I40*(D40+D40*6%)</f>
        <v>0</v>
      </c>
      <c r="K40" s="78"/>
      <c r="L40" s="78">
        <f>K40*(D40+D40*9%)</f>
        <v>0</v>
      </c>
      <c r="M40" s="78">
        <f>$M$39</f>
        <v>0</v>
      </c>
      <c r="N40" s="78">
        <f>M40*(D40+D40*12%)</f>
        <v>0</v>
      </c>
      <c r="O40" s="78">
        <f>F40+H40+J40+L40+N40</f>
        <v>0</v>
      </c>
    </row>
    <row r="41" spans="1:15" x14ac:dyDescent="0.25">
      <c r="A41" s="41"/>
      <c r="B41" s="42" t="s">
        <v>249</v>
      </c>
      <c r="C41" s="41" t="s">
        <v>61</v>
      </c>
      <c r="D41" s="76">
        <v>78000</v>
      </c>
      <c r="E41" s="77">
        <f>$E$39</f>
        <v>0</v>
      </c>
      <c r="F41" s="78">
        <f>E41*D41</f>
        <v>0</v>
      </c>
      <c r="G41" s="78"/>
      <c r="H41" s="78">
        <f>G41*(D41+D41*3%)</f>
        <v>0</v>
      </c>
      <c r="I41" s="78">
        <f>$I$39</f>
        <v>0</v>
      </c>
      <c r="J41" s="78">
        <f>I41*(D41+D41*6%)</f>
        <v>0</v>
      </c>
      <c r="K41" s="78"/>
      <c r="L41" s="78">
        <f>K41*(D41+D41*9%)</f>
        <v>0</v>
      </c>
      <c r="M41" s="78">
        <f>$M$39</f>
        <v>0</v>
      </c>
      <c r="N41" s="78">
        <f>M41*(D41+D41*12%)</f>
        <v>0</v>
      </c>
      <c r="O41" s="78">
        <f>F41+H41+J41+L41+N41</f>
        <v>0</v>
      </c>
    </row>
    <row r="42" spans="1:15" x14ac:dyDescent="0.25">
      <c r="A42" s="41"/>
      <c r="B42" s="42" t="s">
        <v>38</v>
      </c>
      <c r="C42" s="41" t="s">
        <v>62</v>
      </c>
      <c r="D42" s="76">
        <v>490000</v>
      </c>
      <c r="E42" s="77">
        <f>$E$39</f>
        <v>0</v>
      </c>
      <c r="F42" s="78">
        <f>E42*D42</f>
        <v>0</v>
      </c>
      <c r="G42" s="78"/>
      <c r="H42" s="78">
        <f>G42*(D42+D42*3%)</f>
        <v>0</v>
      </c>
      <c r="I42" s="78">
        <f>$I$39</f>
        <v>0</v>
      </c>
      <c r="J42" s="78">
        <f>I42*(D42+D42*6%)</f>
        <v>0</v>
      </c>
      <c r="K42" s="78"/>
      <c r="L42" s="78">
        <f>K42*(D42+D42*9%)</f>
        <v>0</v>
      </c>
      <c r="M42" s="78">
        <f>$M$39</f>
        <v>0</v>
      </c>
      <c r="N42" s="78">
        <f>M42*(D42+D42*12%)</f>
        <v>0</v>
      </c>
      <c r="O42" s="78">
        <f>F42+H42+J42+L42+N42</f>
        <v>0</v>
      </c>
    </row>
    <row r="43" spans="1:15" x14ac:dyDescent="0.25">
      <c r="A43" s="41"/>
      <c r="B43" s="42" t="s">
        <v>40</v>
      </c>
      <c r="C43" s="41" t="s">
        <v>62</v>
      </c>
      <c r="D43" s="76">
        <v>35000</v>
      </c>
      <c r="E43" s="77">
        <f>$E$39*2</f>
        <v>0</v>
      </c>
      <c r="F43" s="78">
        <f>E43*D43</f>
        <v>0</v>
      </c>
      <c r="G43" s="78"/>
      <c r="H43" s="78">
        <f>G43*(D43+D43*3%)</f>
        <v>0</v>
      </c>
      <c r="I43" s="78">
        <f>$I$39*2</f>
        <v>0</v>
      </c>
      <c r="J43" s="78">
        <f>I43*(D43+D43*6%)</f>
        <v>0</v>
      </c>
      <c r="K43" s="78"/>
      <c r="L43" s="78">
        <f>K43*(D43+D43*9%)</f>
        <v>0</v>
      </c>
      <c r="M43" s="78">
        <f>$M$39*2</f>
        <v>0</v>
      </c>
      <c r="N43" s="78">
        <f>M43*(D43+D43*12%)</f>
        <v>0</v>
      </c>
      <c r="O43" s="78">
        <f>F43+H43+J43+L43+N43</f>
        <v>0</v>
      </c>
    </row>
    <row r="44" spans="1:15" x14ac:dyDescent="0.25">
      <c r="A44" s="41"/>
      <c r="B44" s="42" t="s">
        <v>41</v>
      </c>
      <c r="C44" s="41" t="s">
        <v>61</v>
      </c>
      <c r="D44" s="76">
        <v>75000</v>
      </c>
      <c r="E44" s="77">
        <f>$E$39</f>
        <v>0</v>
      </c>
      <c r="F44" s="78">
        <f>E44*D44</f>
        <v>0</v>
      </c>
      <c r="G44" s="78"/>
      <c r="H44" s="78">
        <f>G44*(D44+D44*3%)</f>
        <v>0</v>
      </c>
      <c r="I44" s="78">
        <f>$I$39</f>
        <v>0</v>
      </c>
      <c r="J44" s="78">
        <f>I44*(D44+D44*6%)</f>
        <v>0</v>
      </c>
      <c r="K44" s="78"/>
      <c r="L44" s="78">
        <f>K44*(D44+D44*9%)</f>
        <v>0</v>
      </c>
      <c r="M44" s="78">
        <f>$M$39</f>
        <v>0</v>
      </c>
      <c r="N44" s="78">
        <f>M44*(D44+D44*12%)</f>
        <v>0</v>
      </c>
      <c r="O44" s="78">
        <f>F44+H44+J44+L44+N44</f>
        <v>0</v>
      </c>
    </row>
    <row r="45" spans="1:15" s="10" customFormat="1" x14ac:dyDescent="0.25">
      <c r="A45" s="11" t="s">
        <v>48</v>
      </c>
      <c r="B45" s="11" t="s">
        <v>250</v>
      </c>
      <c r="C45" s="11"/>
      <c r="D45" s="74"/>
      <c r="E45" s="74">
        <v>99</v>
      </c>
      <c r="F45" s="75">
        <f>SUBTOTAL(9,F46:F50)</f>
        <v>90585000</v>
      </c>
      <c r="G45" s="74"/>
      <c r="H45" s="75">
        <f>SUBTOTAL(9,H46:H50)</f>
        <v>0</v>
      </c>
      <c r="I45" s="74">
        <f>E45</f>
        <v>99</v>
      </c>
      <c r="J45" s="75">
        <f>SUBTOTAL(9,J46:J50)</f>
        <v>96020100</v>
      </c>
      <c r="K45" s="74"/>
      <c r="L45" s="75">
        <f>SUBTOTAL(9,L46:L50)</f>
        <v>0</v>
      </c>
      <c r="M45" s="74">
        <f>E45</f>
        <v>99</v>
      </c>
      <c r="N45" s="75">
        <f>SUBTOTAL(9,N46:N50)</f>
        <v>101455200</v>
      </c>
      <c r="O45" s="75">
        <f>SUBTOTAL(9,O46:O50)</f>
        <v>288060300</v>
      </c>
    </row>
    <row r="46" spans="1:15" x14ac:dyDescent="0.25">
      <c r="A46" s="41"/>
      <c r="B46" s="42" t="s">
        <v>37</v>
      </c>
      <c r="C46" s="41" t="s">
        <v>60</v>
      </c>
      <c r="D46" s="76">
        <v>517000</v>
      </c>
      <c r="E46" s="77">
        <f>E45*1</f>
        <v>99</v>
      </c>
      <c r="F46" s="78">
        <f>E46*D46</f>
        <v>51183000</v>
      </c>
      <c r="G46" s="77"/>
      <c r="H46" s="78">
        <f>G46*(D46+D46*3%)</f>
        <v>0</v>
      </c>
      <c r="I46" s="77">
        <f>E46</f>
        <v>99</v>
      </c>
      <c r="J46" s="78">
        <f>I46*(D46+D46*6%)</f>
        <v>54253980</v>
      </c>
      <c r="K46" s="77"/>
      <c r="L46" s="78">
        <f>K46*(D46+D46*9%)</f>
        <v>0</v>
      </c>
      <c r="M46" s="77">
        <f>E46</f>
        <v>99</v>
      </c>
      <c r="N46" s="78">
        <f>M46*(D46+D46*12%)</f>
        <v>57324960</v>
      </c>
      <c r="O46" s="78">
        <f>F46+H46+J46+L46+N46</f>
        <v>162761940</v>
      </c>
    </row>
    <row r="47" spans="1:15" x14ac:dyDescent="0.25">
      <c r="A47" s="41"/>
      <c r="B47" s="42" t="s">
        <v>249</v>
      </c>
      <c r="C47" s="41" t="s">
        <v>61</v>
      </c>
      <c r="D47" s="76">
        <v>78000</v>
      </c>
      <c r="E47" s="77">
        <f>$E$45</f>
        <v>99</v>
      </c>
      <c r="F47" s="78">
        <f>E47*D47</f>
        <v>7722000</v>
      </c>
      <c r="G47" s="77"/>
      <c r="H47" s="78">
        <f>G47*(D47+D47*3%)</f>
        <v>0</v>
      </c>
      <c r="I47" s="77">
        <f>E47</f>
        <v>99</v>
      </c>
      <c r="J47" s="78">
        <f>I47*(D47+D47*6%)</f>
        <v>8185320</v>
      </c>
      <c r="K47" s="77"/>
      <c r="L47" s="78">
        <f>K47*(D47+D47*9%)</f>
        <v>0</v>
      </c>
      <c r="M47" s="77">
        <f>E47</f>
        <v>99</v>
      </c>
      <c r="N47" s="78">
        <f>M47*(D47+D47*12%)</f>
        <v>8648640</v>
      </c>
      <c r="O47" s="78">
        <f>F47+H47+J47+L47+N47</f>
        <v>24555960</v>
      </c>
    </row>
    <row r="48" spans="1:15" x14ac:dyDescent="0.25">
      <c r="A48" s="41"/>
      <c r="B48" s="42" t="s">
        <v>39</v>
      </c>
      <c r="C48" s="41" t="s">
        <v>62</v>
      </c>
      <c r="D48" s="76">
        <v>175000</v>
      </c>
      <c r="E48" s="77">
        <f>$E$45</f>
        <v>99</v>
      </c>
      <c r="F48" s="78">
        <f>E48*D48</f>
        <v>17325000</v>
      </c>
      <c r="G48" s="77"/>
      <c r="H48" s="78">
        <f>G48*(D48+D48*3%)</f>
        <v>0</v>
      </c>
      <c r="I48" s="77">
        <f>$E$45</f>
        <v>99</v>
      </c>
      <c r="J48" s="78">
        <f>I48*(D48+D48*6%)</f>
        <v>18364500</v>
      </c>
      <c r="K48" s="77"/>
      <c r="L48" s="78">
        <f>K48*(D48+D48*9%)</f>
        <v>0</v>
      </c>
      <c r="M48" s="77">
        <f>$E$45</f>
        <v>99</v>
      </c>
      <c r="N48" s="78">
        <f>M48*(D48+D48*12%)</f>
        <v>19404000</v>
      </c>
      <c r="O48" s="78">
        <f>F48+H48+J48+L48+N48</f>
        <v>55093500</v>
      </c>
    </row>
    <row r="49" spans="1:15" x14ac:dyDescent="0.25">
      <c r="A49" s="41"/>
      <c r="B49" s="42" t="s">
        <v>40</v>
      </c>
      <c r="C49" s="41" t="s">
        <v>62</v>
      </c>
      <c r="D49" s="76">
        <v>35000</v>
      </c>
      <c r="E49" s="77">
        <f>E46*2</f>
        <v>198</v>
      </c>
      <c r="F49" s="78">
        <f>E49*D49</f>
        <v>6930000</v>
      </c>
      <c r="G49" s="77"/>
      <c r="H49" s="78">
        <f>G49*(D49+D49*3%)</f>
        <v>0</v>
      </c>
      <c r="I49" s="77">
        <f>E49</f>
        <v>198</v>
      </c>
      <c r="J49" s="78">
        <f>I49*(D49+D49*6%)</f>
        <v>7345800</v>
      </c>
      <c r="K49" s="77"/>
      <c r="L49" s="78">
        <f>K49*(D49+D49*9%)</f>
        <v>0</v>
      </c>
      <c r="M49" s="77">
        <f>E49</f>
        <v>198</v>
      </c>
      <c r="N49" s="78">
        <f>M49*(D49+D49*12%)</f>
        <v>7761600</v>
      </c>
      <c r="O49" s="78">
        <f>F49+H49+J49+L49+N49</f>
        <v>22037400</v>
      </c>
    </row>
    <row r="50" spans="1:15" x14ac:dyDescent="0.25">
      <c r="A50" s="41"/>
      <c r="B50" s="42" t="s">
        <v>41</v>
      </c>
      <c r="C50" s="41" t="s">
        <v>61</v>
      </c>
      <c r="D50" s="76">
        <v>75000</v>
      </c>
      <c r="E50" s="77">
        <f>$E$45</f>
        <v>99</v>
      </c>
      <c r="F50" s="78">
        <f>E50*D50</f>
        <v>7425000</v>
      </c>
      <c r="G50" s="77"/>
      <c r="H50" s="78">
        <f>G50*(D50+D50*3%)</f>
        <v>0</v>
      </c>
      <c r="I50" s="77">
        <f>$E$45</f>
        <v>99</v>
      </c>
      <c r="J50" s="78">
        <f>I50*(D50+D50*6%)</f>
        <v>7870500</v>
      </c>
      <c r="K50" s="77"/>
      <c r="L50" s="78">
        <f>K50*(D50+D50*9%)</f>
        <v>0</v>
      </c>
      <c r="M50" s="77">
        <f>$E$45</f>
        <v>99</v>
      </c>
      <c r="N50" s="78">
        <f>M50*(D50+D50*12%)</f>
        <v>8316000</v>
      </c>
      <c r="O50" s="78">
        <f>F50+H50+J50+L50+N50</f>
        <v>23611500</v>
      </c>
    </row>
  </sheetData>
  <mergeCells count="13">
    <mergeCell ref="O5:O6"/>
    <mergeCell ref="A1:O1"/>
    <mergeCell ref="A2:O2"/>
    <mergeCell ref="A3:O3"/>
    <mergeCell ref="A5:A6"/>
    <mergeCell ref="B5:B6"/>
    <mergeCell ref="C5:C6"/>
    <mergeCell ref="D5:D6"/>
    <mergeCell ref="E5:F5"/>
    <mergeCell ref="G5:H5"/>
    <mergeCell ref="I5:J5"/>
    <mergeCell ref="K5:L5"/>
    <mergeCell ref="M5:N5"/>
  </mergeCells>
  <conditionalFormatting sqref="C7:O50">
    <cfRule type="cellIs" dxfId="0" priority="1" operator="equal">
      <formula>0</formula>
    </cfRule>
  </conditionalFormatting>
  <pageMargins left="0.63" right="0.15748031496062992" top="0.74803149606299213" bottom="0.74803149606299213" header="0.31496062992125984" footer="0.31496062992125984"/>
  <pageSetup paperSize="9" scale="70" orientation="landscape" r:id="rId1"/>
  <headerFooter differentFirst="1">
    <oddHeader>&amp;C&amp;P</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9"/>
  <sheetViews>
    <sheetView zoomScale="115" zoomScaleNormal="115" workbookViewId="0">
      <pane xSplit="2" ySplit="5" topLeftCell="H6" activePane="bottomRight" state="frozen"/>
      <selection activeCell="J192" sqref="J192"/>
      <selection pane="topRight" activeCell="J192" sqref="J192"/>
      <selection pane="bottomLeft" activeCell="J192" sqref="J192"/>
      <selection pane="bottomRight" activeCell="I28" sqref="I28"/>
    </sheetView>
  </sheetViews>
  <sheetFormatPr defaultRowHeight="15" outlineLevelCol="1" x14ac:dyDescent="0.25"/>
  <cols>
    <col min="1" max="1" width="5" style="1" bestFit="1" customWidth="1"/>
    <col min="2" max="2" width="27.42578125" style="1" bestFit="1" customWidth="1"/>
    <col min="3" max="3" width="11.5703125" customWidth="1"/>
    <col min="4" max="7" width="11.28515625" hidden="1" customWidth="1" outlineLevel="1"/>
    <col min="8" max="8" width="6.5703125" bestFit="1" customWidth="1" collapsed="1"/>
    <col min="9" max="9" width="15.5703125" customWidth="1"/>
    <col min="10" max="10" width="6.5703125" bestFit="1" customWidth="1"/>
    <col min="11" max="11" width="15.5703125" customWidth="1"/>
    <col min="12" max="12" width="6.5703125" bestFit="1" customWidth="1"/>
    <col min="13" max="13" width="15.7109375" customWidth="1"/>
    <col min="14" max="14" width="6.5703125" bestFit="1" customWidth="1"/>
    <col min="15" max="15" width="15.85546875" customWidth="1"/>
    <col min="16" max="16" width="6.5703125" bestFit="1" customWidth="1"/>
    <col min="17" max="17" width="16.85546875" customWidth="1"/>
    <col min="18" max="18" width="17.28515625" customWidth="1"/>
    <col min="19" max="19" width="27.140625" customWidth="1"/>
    <col min="20" max="20" width="19.42578125" bestFit="1" customWidth="1"/>
  </cols>
  <sheetData>
    <row r="1" spans="1:26" s="2" customFormat="1" ht="18.75" x14ac:dyDescent="0.3">
      <c r="A1" s="173" t="s">
        <v>184</v>
      </c>
      <c r="B1" s="173"/>
      <c r="C1" s="173"/>
      <c r="D1" s="173"/>
      <c r="E1" s="173"/>
      <c r="F1" s="173"/>
      <c r="G1" s="173"/>
      <c r="H1" s="173"/>
      <c r="I1" s="173"/>
      <c r="J1" s="173"/>
      <c r="K1" s="173"/>
      <c r="L1" s="173"/>
      <c r="M1" s="173"/>
      <c r="N1" s="173"/>
      <c r="O1" s="173"/>
      <c r="P1" s="173"/>
      <c r="Q1" s="173"/>
      <c r="R1" s="173"/>
      <c r="S1" s="8"/>
      <c r="T1" s="8"/>
      <c r="U1" s="8"/>
      <c r="V1" s="8"/>
      <c r="W1" s="8"/>
      <c r="X1" s="8"/>
      <c r="Y1" s="8"/>
      <c r="Z1" s="8"/>
    </row>
    <row r="2" spans="1:26" s="2" customFormat="1" ht="84" customHeight="1" x14ac:dyDescent="0.3">
      <c r="A2" s="174" t="s">
        <v>360</v>
      </c>
      <c r="B2" s="174"/>
      <c r="C2" s="174"/>
      <c r="D2" s="174"/>
      <c r="E2" s="174"/>
      <c r="F2" s="174"/>
      <c r="G2" s="174"/>
      <c r="H2" s="174"/>
      <c r="I2" s="174"/>
      <c r="J2" s="174"/>
      <c r="K2" s="174"/>
      <c r="L2" s="174"/>
      <c r="M2" s="174"/>
      <c r="N2" s="174"/>
      <c r="O2" s="174"/>
      <c r="P2" s="174"/>
      <c r="Q2" s="174"/>
      <c r="R2" s="174"/>
      <c r="S2" s="8"/>
      <c r="T2" s="8"/>
      <c r="U2" s="8"/>
      <c r="V2" s="8"/>
      <c r="W2" s="8"/>
      <c r="X2" s="8"/>
      <c r="Y2" s="8"/>
      <c r="Z2" s="8"/>
    </row>
    <row r="3" spans="1:26" s="3" customFormat="1" ht="9" customHeight="1" x14ac:dyDescent="0.3">
      <c r="A3" s="175"/>
      <c r="B3" s="175"/>
      <c r="C3" s="175"/>
      <c r="D3" s="175"/>
      <c r="E3" s="175"/>
      <c r="F3" s="175"/>
      <c r="G3" s="175"/>
      <c r="H3" s="175"/>
      <c r="I3" s="175"/>
      <c r="J3" s="175"/>
      <c r="K3" s="175"/>
      <c r="L3" s="175"/>
      <c r="M3" s="175"/>
      <c r="N3" s="175"/>
      <c r="O3" s="175"/>
      <c r="P3" s="175"/>
      <c r="Q3" s="175"/>
      <c r="R3" s="175"/>
      <c r="S3" s="13"/>
      <c r="T3" s="13"/>
      <c r="U3" s="13"/>
      <c r="V3" s="13"/>
      <c r="W3" s="13"/>
      <c r="X3" s="13"/>
      <c r="Y3" s="13"/>
      <c r="Z3" s="13"/>
    </row>
    <row r="4" spans="1:26" s="10" customFormat="1" ht="30" customHeight="1" x14ac:dyDescent="0.25">
      <c r="A4" s="176" t="s">
        <v>28</v>
      </c>
      <c r="B4" s="177" t="s">
        <v>118</v>
      </c>
      <c r="C4" s="192" t="s">
        <v>202</v>
      </c>
      <c r="D4" s="193"/>
      <c r="E4" s="193"/>
      <c r="F4" s="193"/>
      <c r="G4" s="194"/>
      <c r="H4" s="176" t="s">
        <v>235</v>
      </c>
      <c r="I4" s="176"/>
      <c r="J4" s="176" t="s">
        <v>236</v>
      </c>
      <c r="K4" s="176"/>
      <c r="L4" s="176" t="s">
        <v>237</v>
      </c>
      <c r="M4" s="176"/>
      <c r="N4" s="176" t="s">
        <v>238</v>
      </c>
      <c r="O4" s="176"/>
      <c r="P4" s="176" t="s">
        <v>239</v>
      </c>
      <c r="Q4" s="176"/>
      <c r="R4" s="177" t="s">
        <v>34</v>
      </c>
    </row>
    <row r="5" spans="1:26" s="10" customFormat="1" ht="31.5" x14ac:dyDescent="0.25">
      <c r="A5" s="176"/>
      <c r="B5" s="176"/>
      <c r="C5" s="195"/>
      <c r="D5" s="196"/>
      <c r="E5" s="196"/>
      <c r="F5" s="196"/>
      <c r="G5" s="197"/>
      <c r="H5" s="5" t="s">
        <v>120</v>
      </c>
      <c r="I5" s="5" t="s">
        <v>33</v>
      </c>
      <c r="J5" s="5" t="s">
        <v>120</v>
      </c>
      <c r="K5" s="5" t="s">
        <v>33</v>
      </c>
      <c r="L5" s="5" t="s">
        <v>120</v>
      </c>
      <c r="M5" s="5" t="s">
        <v>33</v>
      </c>
      <c r="N5" s="5" t="s">
        <v>120</v>
      </c>
      <c r="O5" s="5" t="s">
        <v>33</v>
      </c>
      <c r="P5" s="5" t="s">
        <v>120</v>
      </c>
      <c r="Q5" s="5" t="s">
        <v>33</v>
      </c>
      <c r="R5" s="176"/>
    </row>
    <row r="6" spans="1:26" s="10" customFormat="1" ht="18.75" x14ac:dyDescent="0.25">
      <c r="A6" s="6" t="s">
        <v>117</v>
      </c>
      <c r="B6" s="6" t="s">
        <v>116</v>
      </c>
      <c r="C6" s="5"/>
      <c r="D6" s="5"/>
      <c r="E6" s="5"/>
      <c r="F6" s="5"/>
      <c r="G6" s="5"/>
      <c r="H6" s="51">
        <f>H7+H11+H15+H29</f>
        <v>146</v>
      </c>
      <c r="I6" s="51">
        <f>SUBTOTAL(9,I7:I37)</f>
        <v>1180857600</v>
      </c>
      <c r="J6" s="51">
        <f>J7+J11+J15+J29</f>
        <v>146</v>
      </c>
      <c r="K6" s="51">
        <f>SUBTOTAL(9,K7:K37)</f>
        <v>1180857600</v>
      </c>
      <c r="L6" s="51">
        <f>L7+L11+L15+L29</f>
        <v>146</v>
      </c>
      <c r="M6" s="51">
        <f>SUBTOTAL(9,M7:M37)</f>
        <v>1180857600</v>
      </c>
      <c r="N6" s="51">
        <f>N7+N11+N15+N29</f>
        <v>146</v>
      </c>
      <c r="O6" s="51">
        <f>SUBTOTAL(9,O7:O37)</f>
        <v>1180857600</v>
      </c>
      <c r="P6" s="51">
        <f>P7+P11+P15+P29</f>
        <v>146</v>
      </c>
      <c r="Q6" s="51">
        <f>SUBTOTAL(9,Q7:Q37)</f>
        <v>1180857600</v>
      </c>
      <c r="R6" s="51">
        <f>SUBTOTAL(9,R7:R37)</f>
        <v>5904288000</v>
      </c>
      <c r="S6" s="163"/>
      <c r="T6" s="163"/>
    </row>
    <row r="7" spans="1:26" s="47" customFormat="1" ht="31.5" x14ac:dyDescent="0.25">
      <c r="A7" s="6" t="s">
        <v>35</v>
      </c>
      <c r="B7" s="5" t="s">
        <v>119</v>
      </c>
      <c r="C7" s="110"/>
      <c r="D7" s="190" t="s">
        <v>245</v>
      </c>
      <c r="E7" s="191"/>
      <c r="F7" s="191"/>
      <c r="G7" s="191"/>
      <c r="H7" s="45">
        <f>H8</f>
        <v>0</v>
      </c>
      <c r="I7" s="45">
        <f>SUBTOTAL(9,I8:I10)</f>
        <v>0</v>
      </c>
      <c r="J7" s="45">
        <f>J8</f>
        <v>0</v>
      </c>
      <c r="K7" s="45">
        <f>SUBTOTAL(9,K8:K10)</f>
        <v>0</v>
      </c>
      <c r="L7" s="45">
        <f>L8</f>
        <v>0</v>
      </c>
      <c r="M7" s="45">
        <f>SUBTOTAL(9,M8:M10)</f>
        <v>0</v>
      </c>
      <c r="N7" s="45">
        <f>N8</f>
        <v>0</v>
      </c>
      <c r="O7" s="45">
        <f>SUBTOTAL(9,O8:O10)</f>
        <v>0</v>
      </c>
      <c r="P7" s="45">
        <f>P8</f>
        <v>0</v>
      </c>
      <c r="Q7" s="45">
        <f>SUBTOTAL(9,Q8:Q10)</f>
        <v>0</v>
      </c>
      <c r="R7" s="45">
        <f>SUBTOTAL(9,R8:R10)</f>
        <v>0</v>
      </c>
    </row>
    <row r="8" spans="1:26" s="47" customFormat="1" ht="15.75" x14ac:dyDescent="0.25">
      <c r="A8" s="6"/>
      <c r="B8" s="5" t="s">
        <v>43</v>
      </c>
      <c r="C8" s="45"/>
      <c r="D8" s="45"/>
      <c r="E8" s="45"/>
      <c r="F8" s="45"/>
      <c r="G8" s="45"/>
      <c r="H8" s="45">
        <f>PL2A!E9</f>
        <v>0</v>
      </c>
      <c r="I8" s="45">
        <f>SUBTOTAL(9,I9:I10)</f>
        <v>0</v>
      </c>
      <c r="J8" s="45">
        <f>H8</f>
        <v>0</v>
      </c>
      <c r="K8" s="45">
        <f>SUBTOTAL(9,K9:K10)</f>
        <v>0</v>
      </c>
      <c r="L8" s="45">
        <f>H8</f>
        <v>0</v>
      </c>
      <c r="M8" s="45">
        <f>SUBTOTAL(9,M9:M10)</f>
        <v>0</v>
      </c>
      <c r="N8" s="45">
        <f>H8</f>
        <v>0</v>
      </c>
      <c r="O8" s="45">
        <f>SUBTOTAL(9,O9:O10)</f>
        <v>0</v>
      </c>
      <c r="P8" s="45">
        <f>H8</f>
        <v>0</v>
      </c>
      <c r="Q8" s="45">
        <f>SUBTOTAL(9,Q9:Q10)</f>
        <v>0</v>
      </c>
      <c r="R8" s="45">
        <f>SUBTOTAL(9,R9:R10)</f>
        <v>0</v>
      </c>
    </row>
    <row r="9" spans="1:26" s="50" customFormat="1" ht="15.75" x14ac:dyDescent="0.25">
      <c r="A9" s="7"/>
      <c r="B9" s="7" t="s">
        <v>121</v>
      </c>
      <c r="C9" s="48">
        <f>561600*12</f>
        <v>6739200</v>
      </c>
      <c r="D9" s="48"/>
      <c r="E9" s="48"/>
      <c r="F9" s="48"/>
      <c r="G9" s="48"/>
      <c r="H9" s="48">
        <f>H8</f>
        <v>0</v>
      </c>
      <c r="I9" s="48">
        <f>$C9*H9</f>
        <v>0</v>
      </c>
      <c r="J9" s="45">
        <f t="shared" ref="J9:J10" si="0">H9</f>
        <v>0</v>
      </c>
      <c r="K9" s="48">
        <f>$C9*J9</f>
        <v>0</v>
      </c>
      <c r="L9" s="45">
        <f t="shared" ref="L9:L10" si="1">H9</f>
        <v>0</v>
      </c>
      <c r="M9" s="48">
        <f>$C9*L9</f>
        <v>0</v>
      </c>
      <c r="N9" s="45">
        <f t="shared" ref="N9:N10" si="2">H9</f>
        <v>0</v>
      </c>
      <c r="O9" s="48">
        <f>$C9*N9</f>
        <v>0</v>
      </c>
      <c r="P9" s="45">
        <f t="shared" ref="P9:P10" si="3">H9</f>
        <v>0</v>
      </c>
      <c r="Q9" s="48">
        <f>$C9*P9</f>
        <v>0</v>
      </c>
      <c r="R9" s="48">
        <f>I9+K9+M9+O9+Q9</f>
        <v>0</v>
      </c>
    </row>
    <row r="10" spans="1:26" s="50" customFormat="1" ht="15.75" x14ac:dyDescent="0.25">
      <c r="A10" s="7"/>
      <c r="B10" s="7" t="s">
        <v>122</v>
      </c>
      <c r="C10" s="48">
        <f>ROUND(((3*2340000)+561600)*5%,0)*12</f>
        <v>4548960</v>
      </c>
      <c r="D10" s="48">
        <f>ROUND(((3.8*2340000)+561600)*6%,0)*12</f>
        <v>6806592</v>
      </c>
      <c r="E10" s="48">
        <f>ROUND(((3.8*2340000)+561600)*7%,0)*12</f>
        <v>7941024</v>
      </c>
      <c r="F10" s="48">
        <f>ROUND(((3.8*2340000)+561600)*8%,0)*12</f>
        <v>9075456</v>
      </c>
      <c r="G10" s="48">
        <f>ROUND(((3.8*2340000)+561600)*9%,0)*12</f>
        <v>10209888</v>
      </c>
      <c r="H10" s="48">
        <f>H9</f>
        <v>0</v>
      </c>
      <c r="I10" s="48">
        <f>$C10*H10</f>
        <v>0</v>
      </c>
      <c r="J10" s="45">
        <f t="shared" si="0"/>
        <v>0</v>
      </c>
      <c r="K10" s="48">
        <f>D10*J10</f>
        <v>0</v>
      </c>
      <c r="L10" s="45">
        <f t="shared" si="1"/>
        <v>0</v>
      </c>
      <c r="M10" s="48">
        <f>E10*L10</f>
        <v>0</v>
      </c>
      <c r="N10" s="45">
        <f t="shared" si="2"/>
        <v>0</v>
      </c>
      <c r="O10" s="48">
        <f>F10*N10</f>
        <v>0</v>
      </c>
      <c r="P10" s="45">
        <f t="shared" si="3"/>
        <v>0</v>
      </c>
      <c r="Q10" s="48">
        <f>G10*P10</f>
        <v>0</v>
      </c>
      <c r="R10" s="48">
        <f>I10+K10+M10+O10+Q10</f>
        <v>0</v>
      </c>
    </row>
    <row r="11" spans="1:26" s="47" customFormat="1" ht="15.75" x14ac:dyDescent="0.25">
      <c r="A11" s="6" t="s">
        <v>47</v>
      </c>
      <c r="B11" s="5" t="s">
        <v>345</v>
      </c>
      <c r="C11" s="45"/>
      <c r="D11" s="45"/>
      <c r="E11" s="45"/>
      <c r="F11" s="45"/>
      <c r="G11" s="45"/>
      <c r="H11" s="45">
        <f>PL2A!E97</f>
        <v>22</v>
      </c>
      <c r="I11" s="45">
        <f>SUBTOTAL(9,I12:I14)</f>
        <v>832946400</v>
      </c>
      <c r="J11" s="45">
        <f>H11</f>
        <v>22</v>
      </c>
      <c r="K11" s="45">
        <f>SUBTOTAL(9,K12:K14)</f>
        <v>832946400</v>
      </c>
      <c r="L11" s="45">
        <f>H11</f>
        <v>22</v>
      </c>
      <c r="M11" s="45">
        <f>SUBTOTAL(9,M12:M14)</f>
        <v>832946400</v>
      </c>
      <c r="N11" s="45">
        <f>H11</f>
        <v>22</v>
      </c>
      <c r="O11" s="45">
        <f>SUBTOTAL(9,O12:O14)</f>
        <v>832946400</v>
      </c>
      <c r="P11" s="45">
        <f>H11</f>
        <v>22</v>
      </c>
      <c r="Q11" s="45">
        <f>SUBTOTAL(9,Q12:Q14)</f>
        <v>832946400</v>
      </c>
      <c r="R11" s="45">
        <f>SUBTOTAL(9,R12:R14)</f>
        <v>4164732000</v>
      </c>
    </row>
    <row r="12" spans="1:26" s="50" customFormat="1" ht="15.75" x14ac:dyDescent="0.25">
      <c r="A12" s="7"/>
      <c r="B12" s="7" t="s">
        <v>123</v>
      </c>
      <c r="C12" s="48">
        <v>25740000</v>
      </c>
      <c r="D12" s="48"/>
      <c r="E12" s="48"/>
      <c r="F12" s="48"/>
      <c r="G12" s="48"/>
      <c r="H12" s="48">
        <f>H$11</f>
        <v>22</v>
      </c>
      <c r="I12" s="48">
        <f>$C12*H12</f>
        <v>566280000</v>
      </c>
      <c r="J12" s="48">
        <f>J$11</f>
        <v>22</v>
      </c>
      <c r="K12" s="48">
        <f>$C12*J12</f>
        <v>566280000</v>
      </c>
      <c r="L12" s="48">
        <f>L$11</f>
        <v>22</v>
      </c>
      <c r="M12" s="48">
        <f>$C12*L12</f>
        <v>566280000</v>
      </c>
      <c r="N12" s="48">
        <f>N$11</f>
        <v>22</v>
      </c>
      <c r="O12" s="48">
        <f>$C12*N12</f>
        <v>566280000</v>
      </c>
      <c r="P12" s="48">
        <f>P$11</f>
        <v>22</v>
      </c>
      <c r="Q12" s="48">
        <f>$C12*P12</f>
        <v>566280000</v>
      </c>
      <c r="R12" s="48">
        <f t="shared" ref="R12:R37" si="4">I12+K12+M12+O12+Q12</f>
        <v>2831400000</v>
      </c>
    </row>
    <row r="13" spans="1:26" s="50" customFormat="1" ht="15.75" x14ac:dyDescent="0.25">
      <c r="A13" s="7"/>
      <c r="B13" s="44" t="s">
        <v>121</v>
      </c>
      <c r="C13" s="48">
        <v>6177600</v>
      </c>
      <c r="D13" s="48"/>
      <c r="E13" s="48"/>
      <c r="F13" s="48"/>
      <c r="G13" s="48"/>
      <c r="H13" s="48">
        <f t="shared" ref="H13:P14" si="5">H$11</f>
        <v>22</v>
      </c>
      <c r="I13" s="48">
        <f>$C13*H13</f>
        <v>135907200</v>
      </c>
      <c r="J13" s="48">
        <f t="shared" si="5"/>
        <v>22</v>
      </c>
      <c r="K13" s="48">
        <f>$C13*J13</f>
        <v>135907200</v>
      </c>
      <c r="L13" s="48">
        <f t="shared" si="5"/>
        <v>22</v>
      </c>
      <c r="M13" s="48">
        <f>$C13*L13</f>
        <v>135907200</v>
      </c>
      <c r="N13" s="48">
        <f t="shared" si="5"/>
        <v>22</v>
      </c>
      <c r="O13" s="48">
        <f>$C13*N13</f>
        <v>135907200</v>
      </c>
      <c r="P13" s="48">
        <f t="shared" si="5"/>
        <v>22</v>
      </c>
      <c r="Q13" s="48">
        <f>$C13*P13</f>
        <v>135907200</v>
      </c>
      <c r="R13" s="48">
        <f t="shared" si="4"/>
        <v>679536000</v>
      </c>
    </row>
    <row r="14" spans="1:26" s="50" customFormat="1" ht="15.75" x14ac:dyDescent="0.25">
      <c r="A14" s="7"/>
      <c r="B14" s="7" t="s">
        <v>329</v>
      </c>
      <c r="C14" s="48">
        <v>5943600</v>
      </c>
      <c r="D14" s="48"/>
      <c r="E14" s="48"/>
      <c r="F14" s="48"/>
      <c r="G14" s="48"/>
      <c r="H14" s="48">
        <f t="shared" si="5"/>
        <v>22</v>
      </c>
      <c r="I14" s="48">
        <f>$C14*H14</f>
        <v>130759200</v>
      </c>
      <c r="J14" s="48">
        <f t="shared" si="5"/>
        <v>22</v>
      </c>
      <c r="K14" s="48">
        <f>$C14*J14</f>
        <v>130759200</v>
      </c>
      <c r="L14" s="48">
        <f t="shared" si="5"/>
        <v>22</v>
      </c>
      <c r="M14" s="48">
        <f>$C14*L14</f>
        <v>130759200</v>
      </c>
      <c r="N14" s="48">
        <f t="shared" si="5"/>
        <v>22</v>
      </c>
      <c r="O14" s="48">
        <f>$C14*N14</f>
        <v>130759200</v>
      </c>
      <c r="P14" s="48">
        <f t="shared" si="5"/>
        <v>22</v>
      </c>
      <c r="Q14" s="48">
        <f>$C14*P14</f>
        <v>130759200</v>
      </c>
      <c r="R14" s="48">
        <f t="shared" si="4"/>
        <v>653796000</v>
      </c>
    </row>
    <row r="15" spans="1:26" s="47" customFormat="1" ht="31.5" x14ac:dyDescent="0.25">
      <c r="A15" s="6" t="s">
        <v>48</v>
      </c>
      <c r="B15" s="5" t="s">
        <v>195</v>
      </c>
      <c r="C15" s="45"/>
      <c r="D15" s="45"/>
      <c r="E15" s="45"/>
      <c r="F15" s="45"/>
      <c r="G15" s="45"/>
      <c r="H15" s="45">
        <f t="shared" ref="H15:R15" si="6">SUBTOTAL(9,H16:H28)</f>
        <v>108</v>
      </c>
      <c r="I15" s="45">
        <f t="shared" si="6"/>
        <v>318988800</v>
      </c>
      <c r="J15" s="45">
        <f t="shared" si="6"/>
        <v>108</v>
      </c>
      <c r="K15" s="45">
        <f t="shared" si="6"/>
        <v>318988800</v>
      </c>
      <c r="L15" s="45">
        <f t="shared" si="6"/>
        <v>108</v>
      </c>
      <c r="M15" s="45">
        <f t="shared" si="6"/>
        <v>318988800</v>
      </c>
      <c r="N15" s="45">
        <f t="shared" si="6"/>
        <v>108</v>
      </c>
      <c r="O15" s="45">
        <f t="shared" si="6"/>
        <v>318988800</v>
      </c>
      <c r="P15" s="45">
        <f t="shared" si="6"/>
        <v>108</v>
      </c>
      <c r="Q15" s="45">
        <f t="shared" si="6"/>
        <v>318988800</v>
      </c>
      <c r="R15" s="45">
        <f t="shared" si="6"/>
        <v>1594944000</v>
      </c>
    </row>
    <row r="16" spans="1:26" s="50" customFormat="1" ht="15.75" hidden="1" x14ac:dyDescent="0.25">
      <c r="A16" s="7">
        <v>1</v>
      </c>
      <c r="B16" s="7" t="s">
        <v>124</v>
      </c>
      <c r="C16" s="48">
        <f>514800*12</f>
        <v>6177600</v>
      </c>
      <c r="D16" s="48"/>
      <c r="E16" s="48"/>
      <c r="F16" s="48"/>
      <c r="G16" s="48"/>
      <c r="H16" s="48">
        <f>'PL1'!N7</f>
        <v>0</v>
      </c>
      <c r="I16" s="48">
        <f t="shared" ref="I16:I28" si="7">$C16*H16</f>
        <v>0</v>
      </c>
      <c r="J16" s="48">
        <f>H16</f>
        <v>0</v>
      </c>
      <c r="K16" s="48">
        <f t="shared" ref="K16:K28" si="8">$C16*J16</f>
        <v>0</v>
      </c>
      <c r="L16" s="48">
        <f>H16</f>
        <v>0</v>
      </c>
      <c r="M16" s="48">
        <f t="shared" ref="M16:M28" si="9">$C16*L16</f>
        <v>0</v>
      </c>
      <c r="N16" s="48">
        <f>H16</f>
        <v>0</v>
      </c>
      <c r="O16" s="48">
        <f t="shared" ref="O16:O28" si="10">$C16*N16</f>
        <v>0</v>
      </c>
      <c r="P16" s="48">
        <f>H16</f>
        <v>0</v>
      </c>
      <c r="Q16" s="48">
        <f t="shared" ref="Q16:Q28" si="11">$C16*P16</f>
        <v>0</v>
      </c>
      <c r="R16" s="48">
        <f t="shared" si="4"/>
        <v>0</v>
      </c>
    </row>
    <row r="17" spans="1:18" s="50" customFormat="1" ht="15.75" hidden="1" x14ac:dyDescent="0.25">
      <c r="A17" s="7">
        <v>2</v>
      </c>
      <c r="B17" s="44" t="s">
        <v>125</v>
      </c>
      <c r="C17" s="48">
        <f>514800*12</f>
        <v>6177600</v>
      </c>
      <c r="D17" s="48"/>
      <c r="E17" s="48"/>
      <c r="F17" s="48"/>
      <c r="G17" s="48"/>
      <c r="H17" s="48">
        <f>H16</f>
        <v>0</v>
      </c>
      <c r="I17" s="48">
        <f t="shared" si="7"/>
        <v>0</v>
      </c>
      <c r="J17" s="48">
        <f>J16</f>
        <v>0</v>
      </c>
      <c r="K17" s="48">
        <f t="shared" si="8"/>
        <v>0</v>
      </c>
      <c r="L17" s="48">
        <f>L16</f>
        <v>0</v>
      </c>
      <c r="M17" s="48">
        <f t="shared" si="9"/>
        <v>0</v>
      </c>
      <c r="N17" s="48">
        <f>N16</f>
        <v>0</v>
      </c>
      <c r="O17" s="48">
        <f t="shared" si="10"/>
        <v>0</v>
      </c>
      <c r="P17" s="48">
        <f>P16</f>
        <v>0</v>
      </c>
      <c r="Q17" s="48">
        <f t="shared" si="11"/>
        <v>0</v>
      </c>
      <c r="R17" s="48">
        <f t="shared" si="4"/>
        <v>0</v>
      </c>
    </row>
    <row r="18" spans="1:18" s="50" customFormat="1" ht="15.75" hidden="1" x14ac:dyDescent="0.25">
      <c r="A18" s="7">
        <v>3</v>
      </c>
      <c r="B18" s="7" t="s">
        <v>126</v>
      </c>
      <c r="C18" s="48">
        <f>491400*12</f>
        <v>5896800</v>
      </c>
      <c r="D18" s="48"/>
      <c r="E18" s="48"/>
      <c r="F18" s="48"/>
      <c r="G18" s="48"/>
      <c r="H18" s="48">
        <f>H16</f>
        <v>0</v>
      </c>
      <c r="I18" s="48">
        <f t="shared" si="7"/>
        <v>0</v>
      </c>
      <c r="J18" s="48">
        <f>J16</f>
        <v>0</v>
      </c>
      <c r="K18" s="48">
        <f t="shared" si="8"/>
        <v>0</v>
      </c>
      <c r="L18" s="48">
        <f>L16</f>
        <v>0</v>
      </c>
      <c r="M18" s="48">
        <f t="shared" si="9"/>
        <v>0</v>
      </c>
      <c r="N18" s="48">
        <f>N16</f>
        <v>0</v>
      </c>
      <c r="O18" s="48">
        <f t="shared" si="10"/>
        <v>0</v>
      </c>
      <c r="P18" s="48">
        <f>P16</f>
        <v>0</v>
      </c>
      <c r="Q18" s="48">
        <f t="shared" si="11"/>
        <v>0</v>
      </c>
      <c r="R18" s="48">
        <f t="shared" si="4"/>
        <v>0</v>
      </c>
    </row>
    <row r="19" spans="1:18" s="50" customFormat="1" ht="15.75" hidden="1" x14ac:dyDescent="0.25">
      <c r="A19" s="7">
        <v>4</v>
      </c>
      <c r="B19" s="7" t="s">
        <v>255</v>
      </c>
      <c r="C19" s="48">
        <f>468000*12</f>
        <v>5616000</v>
      </c>
      <c r="D19" s="48"/>
      <c r="E19" s="48"/>
      <c r="F19" s="48"/>
      <c r="G19" s="48"/>
      <c r="H19" s="48">
        <v>0</v>
      </c>
      <c r="I19" s="48">
        <f t="shared" si="7"/>
        <v>0</v>
      </c>
      <c r="J19" s="48">
        <v>0</v>
      </c>
      <c r="K19" s="48">
        <f t="shared" si="8"/>
        <v>0</v>
      </c>
      <c r="L19" s="48">
        <v>0</v>
      </c>
      <c r="M19" s="48">
        <f>$C19*L19</f>
        <v>0</v>
      </c>
      <c r="N19" s="48">
        <v>0</v>
      </c>
      <c r="O19" s="48">
        <f>$C19*N19</f>
        <v>0</v>
      </c>
      <c r="P19" s="48">
        <v>0</v>
      </c>
      <c r="Q19" s="48">
        <f>$C19*P19</f>
        <v>0</v>
      </c>
      <c r="R19" s="48">
        <f>I19+K19+M19+O19+Q19</f>
        <v>0</v>
      </c>
    </row>
    <row r="20" spans="1:18" s="50" customFormat="1" ht="15.75" hidden="1" x14ac:dyDescent="0.25">
      <c r="A20" s="7">
        <v>5</v>
      </c>
      <c r="B20" s="7" t="s">
        <v>254</v>
      </c>
      <c r="C20" s="48">
        <f>468000*12</f>
        <v>5616000</v>
      </c>
      <c r="D20" s="48"/>
      <c r="E20" s="48"/>
      <c r="F20" s="48"/>
      <c r="G20" s="48"/>
      <c r="H20" s="48">
        <v>0</v>
      </c>
      <c r="I20" s="48">
        <f t="shared" si="7"/>
        <v>0</v>
      </c>
      <c r="J20" s="48">
        <f>J19</f>
        <v>0</v>
      </c>
      <c r="K20" s="48">
        <f t="shared" si="8"/>
        <v>0</v>
      </c>
      <c r="L20" s="48">
        <f>L19</f>
        <v>0</v>
      </c>
      <c r="M20" s="48">
        <f>$C20*L20</f>
        <v>0</v>
      </c>
      <c r="N20" s="48">
        <f>N19</f>
        <v>0</v>
      </c>
      <c r="O20" s="48">
        <f>$C20*N20</f>
        <v>0</v>
      </c>
      <c r="P20" s="48">
        <f>P19</f>
        <v>0</v>
      </c>
      <c r="Q20" s="48">
        <f>$C20*P20</f>
        <v>0</v>
      </c>
      <c r="R20" s="48">
        <f>I20+K20+M20+O20+Q20</f>
        <v>0</v>
      </c>
    </row>
    <row r="21" spans="1:18" s="50" customFormat="1" ht="15.75" hidden="1" x14ac:dyDescent="0.25">
      <c r="A21" s="7">
        <v>6</v>
      </c>
      <c r="B21" s="7" t="s">
        <v>256</v>
      </c>
      <c r="C21" s="48">
        <f>351000*12</f>
        <v>4212000</v>
      </c>
      <c r="D21" s="48"/>
      <c r="E21" s="48"/>
      <c r="F21" s="48"/>
      <c r="G21" s="48"/>
      <c r="H21" s="48">
        <f>H19</f>
        <v>0</v>
      </c>
      <c r="I21" s="48">
        <f t="shared" si="7"/>
        <v>0</v>
      </c>
      <c r="J21" s="48">
        <f>J19</f>
        <v>0</v>
      </c>
      <c r="K21" s="48">
        <f t="shared" si="8"/>
        <v>0</v>
      </c>
      <c r="L21" s="48">
        <f>L19</f>
        <v>0</v>
      </c>
      <c r="M21" s="48">
        <f>$C21*L21</f>
        <v>0</v>
      </c>
      <c r="N21" s="48">
        <f>N19</f>
        <v>0</v>
      </c>
      <c r="O21" s="48">
        <f>$C21*N21</f>
        <v>0</v>
      </c>
      <c r="P21" s="48">
        <f>P19</f>
        <v>0</v>
      </c>
      <c r="Q21" s="48">
        <f>$C21*P21</f>
        <v>0</v>
      </c>
      <c r="R21" s="48">
        <f>I21+K21+M21+O21+Q21</f>
        <v>0</v>
      </c>
    </row>
    <row r="22" spans="1:18" s="50" customFormat="1" ht="15.75" hidden="1" x14ac:dyDescent="0.25">
      <c r="A22" s="7">
        <v>7</v>
      </c>
      <c r="B22" s="7" t="s">
        <v>257</v>
      </c>
      <c r="C22" s="48">
        <f>351000*12</f>
        <v>4212000</v>
      </c>
      <c r="D22" s="48"/>
      <c r="E22" s="48"/>
      <c r="F22" s="48"/>
      <c r="G22" s="48"/>
      <c r="H22" s="48">
        <f>H19</f>
        <v>0</v>
      </c>
      <c r="I22" s="48">
        <f t="shared" si="7"/>
        <v>0</v>
      </c>
      <c r="J22" s="48">
        <f>J20</f>
        <v>0</v>
      </c>
      <c r="K22" s="48">
        <f t="shared" si="8"/>
        <v>0</v>
      </c>
      <c r="L22" s="48">
        <f>L20</f>
        <v>0</v>
      </c>
      <c r="M22" s="48">
        <f>$C22*L22</f>
        <v>0</v>
      </c>
      <c r="N22" s="48">
        <f>N20</f>
        <v>0</v>
      </c>
      <c r="O22" s="48">
        <f>$C22*N22</f>
        <v>0</v>
      </c>
      <c r="P22" s="48">
        <f>P20</f>
        <v>0</v>
      </c>
      <c r="Q22" s="48">
        <f>$C22*P22</f>
        <v>0</v>
      </c>
      <c r="R22" s="48">
        <f>I22+K22+M22+O22+Q22</f>
        <v>0</v>
      </c>
    </row>
    <row r="23" spans="1:18" s="50" customFormat="1" ht="15.75" hidden="1" x14ac:dyDescent="0.25">
      <c r="A23" s="7">
        <v>8</v>
      </c>
      <c r="B23" s="7" t="s">
        <v>246</v>
      </c>
      <c r="C23" s="48">
        <f>280800*12</f>
        <v>3369600</v>
      </c>
      <c r="D23" s="48"/>
      <c r="E23" s="48"/>
      <c r="F23" s="48"/>
      <c r="G23" s="48"/>
      <c r="H23" s="48">
        <v>0</v>
      </c>
      <c r="I23" s="48">
        <f t="shared" si="7"/>
        <v>0</v>
      </c>
      <c r="J23" s="48">
        <f t="shared" ref="J23:J28" si="12">H23</f>
        <v>0</v>
      </c>
      <c r="K23" s="48">
        <f t="shared" si="8"/>
        <v>0</v>
      </c>
      <c r="L23" s="48">
        <f t="shared" ref="L23:L28" si="13">H23</f>
        <v>0</v>
      </c>
      <c r="M23" s="48">
        <f t="shared" si="9"/>
        <v>0</v>
      </c>
      <c r="N23" s="48">
        <f t="shared" ref="N23:N28" si="14">H23</f>
        <v>0</v>
      </c>
      <c r="O23" s="48">
        <f t="shared" si="10"/>
        <v>0</v>
      </c>
      <c r="P23" s="48">
        <f t="shared" ref="P23:P28" si="15">H23</f>
        <v>0</v>
      </c>
      <c r="Q23" s="48">
        <f t="shared" si="11"/>
        <v>0</v>
      </c>
      <c r="R23" s="48">
        <f t="shared" si="4"/>
        <v>0</v>
      </c>
    </row>
    <row r="24" spans="1:18" s="50" customFormat="1" ht="15.75" x14ac:dyDescent="0.25">
      <c r="A24" s="7">
        <v>1</v>
      </c>
      <c r="B24" s="7" t="s">
        <v>253</v>
      </c>
      <c r="C24" s="48">
        <f>468000*12</f>
        <v>5616000</v>
      </c>
      <c r="D24" s="48"/>
      <c r="E24" s="48"/>
      <c r="F24" s="48"/>
      <c r="G24" s="48"/>
      <c r="H24" s="48">
        <f>'PL1'!$O$7</f>
        <v>1</v>
      </c>
      <c r="I24" s="48">
        <f t="shared" si="7"/>
        <v>5616000</v>
      </c>
      <c r="J24" s="48">
        <f t="shared" si="12"/>
        <v>1</v>
      </c>
      <c r="K24" s="48">
        <f t="shared" si="8"/>
        <v>5616000</v>
      </c>
      <c r="L24" s="48">
        <f t="shared" si="13"/>
        <v>1</v>
      </c>
      <c r="M24" s="48">
        <f>$C24*L24</f>
        <v>5616000</v>
      </c>
      <c r="N24" s="48">
        <f t="shared" si="14"/>
        <v>1</v>
      </c>
      <c r="O24" s="48">
        <f>$C24*N24</f>
        <v>5616000</v>
      </c>
      <c r="P24" s="48">
        <f t="shared" si="15"/>
        <v>1</v>
      </c>
      <c r="Q24" s="48">
        <f>$C24*P24</f>
        <v>5616000</v>
      </c>
      <c r="R24" s="48">
        <f>I24+K24+M24+O24+Q24</f>
        <v>28080000</v>
      </c>
    </row>
    <row r="25" spans="1:18" s="50" customFormat="1" ht="15.75" x14ac:dyDescent="0.25">
      <c r="A25" s="7">
        <v>2</v>
      </c>
      <c r="B25" s="7" t="s">
        <v>128</v>
      </c>
      <c r="C25" s="48">
        <f>280800*12</f>
        <v>3369600</v>
      </c>
      <c r="D25" s="48"/>
      <c r="E25" s="48"/>
      <c r="F25" s="48"/>
      <c r="G25" s="48"/>
      <c r="H25" s="48">
        <v>3</v>
      </c>
      <c r="I25" s="48">
        <f t="shared" si="7"/>
        <v>10108800</v>
      </c>
      <c r="J25" s="48">
        <f t="shared" si="12"/>
        <v>3</v>
      </c>
      <c r="K25" s="48">
        <f t="shared" si="8"/>
        <v>10108800</v>
      </c>
      <c r="L25" s="48">
        <f t="shared" si="13"/>
        <v>3</v>
      </c>
      <c r="M25" s="48">
        <f>$C25*L25</f>
        <v>10108800</v>
      </c>
      <c r="N25" s="48">
        <f t="shared" si="14"/>
        <v>3</v>
      </c>
      <c r="O25" s="48">
        <f>$C25*N25</f>
        <v>10108800</v>
      </c>
      <c r="P25" s="48">
        <f t="shared" si="15"/>
        <v>3</v>
      </c>
      <c r="Q25" s="48">
        <f>$C25*P25</f>
        <v>10108800</v>
      </c>
      <c r="R25" s="48">
        <f>I25+K25+M25+O25+Q25</f>
        <v>50544000</v>
      </c>
    </row>
    <row r="26" spans="1:18" s="50" customFormat="1" ht="15.75" x14ac:dyDescent="0.25">
      <c r="A26" s="7">
        <v>3</v>
      </c>
      <c r="B26" s="7" t="s">
        <v>131</v>
      </c>
      <c r="C26" s="48">
        <f>468000*12</f>
        <v>5616000</v>
      </c>
      <c r="D26" s="48"/>
      <c r="E26" s="48"/>
      <c r="F26" s="48"/>
      <c r="G26" s="48"/>
      <c r="H26" s="48">
        <f>PL2A!E106</f>
        <v>3</v>
      </c>
      <c r="I26" s="48">
        <f t="shared" si="7"/>
        <v>16848000</v>
      </c>
      <c r="J26" s="48">
        <f t="shared" si="12"/>
        <v>3</v>
      </c>
      <c r="K26" s="48">
        <f t="shared" si="8"/>
        <v>16848000</v>
      </c>
      <c r="L26" s="48">
        <f t="shared" si="13"/>
        <v>3</v>
      </c>
      <c r="M26" s="48">
        <f t="shared" si="9"/>
        <v>16848000</v>
      </c>
      <c r="N26" s="48">
        <f t="shared" si="14"/>
        <v>3</v>
      </c>
      <c r="O26" s="48">
        <f t="shared" si="10"/>
        <v>16848000</v>
      </c>
      <c r="P26" s="48">
        <f t="shared" si="15"/>
        <v>3</v>
      </c>
      <c r="Q26" s="48">
        <f t="shared" si="11"/>
        <v>16848000</v>
      </c>
      <c r="R26" s="48">
        <f>I26+K26+M26+O26+Q26</f>
        <v>84240000</v>
      </c>
    </row>
    <row r="27" spans="1:18" s="50" customFormat="1" ht="15.75" x14ac:dyDescent="0.25">
      <c r="A27" s="7">
        <v>4</v>
      </c>
      <c r="B27" s="44" t="s">
        <v>127</v>
      </c>
      <c r="C27" s="48">
        <f>280800*12</f>
        <v>3369600</v>
      </c>
      <c r="D27" s="48"/>
      <c r="E27" s="48"/>
      <c r="F27" s="48"/>
      <c r="G27" s="48"/>
      <c r="H27" s="48">
        <f>PL2A!E115-SUM(H19:H22)</f>
        <v>5</v>
      </c>
      <c r="I27" s="48">
        <f t="shared" si="7"/>
        <v>16848000</v>
      </c>
      <c r="J27" s="48">
        <f t="shared" si="12"/>
        <v>5</v>
      </c>
      <c r="K27" s="48">
        <f t="shared" si="8"/>
        <v>16848000</v>
      </c>
      <c r="L27" s="48">
        <f t="shared" si="13"/>
        <v>5</v>
      </c>
      <c r="M27" s="48">
        <f t="shared" si="9"/>
        <v>16848000</v>
      </c>
      <c r="N27" s="48">
        <f t="shared" si="14"/>
        <v>5</v>
      </c>
      <c r="O27" s="48">
        <f t="shared" si="10"/>
        <v>16848000</v>
      </c>
      <c r="P27" s="48">
        <f t="shared" si="15"/>
        <v>5</v>
      </c>
      <c r="Q27" s="48">
        <f t="shared" si="11"/>
        <v>16848000</v>
      </c>
      <c r="R27" s="48">
        <f t="shared" si="4"/>
        <v>84240000</v>
      </c>
    </row>
    <row r="28" spans="1:18" s="50" customFormat="1" ht="15.75" x14ac:dyDescent="0.25">
      <c r="A28" s="7">
        <v>5</v>
      </c>
      <c r="B28" s="44" t="s">
        <v>258</v>
      </c>
      <c r="C28" s="48">
        <f>234000*12</f>
        <v>2808000</v>
      </c>
      <c r="D28" s="48"/>
      <c r="E28" s="48"/>
      <c r="F28" s="48"/>
      <c r="G28" s="48"/>
      <c r="H28" s="48">
        <v>96</v>
      </c>
      <c r="I28" s="48">
        <f t="shared" si="7"/>
        <v>269568000</v>
      </c>
      <c r="J28" s="48">
        <f t="shared" si="12"/>
        <v>96</v>
      </c>
      <c r="K28" s="48">
        <f t="shared" si="8"/>
        <v>269568000</v>
      </c>
      <c r="L28" s="48">
        <f t="shared" si="13"/>
        <v>96</v>
      </c>
      <c r="M28" s="48">
        <f t="shared" si="9"/>
        <v>269568000</v>
      </c>
      <c r="N28" s="48">
        <f t="shared" si="14"/>
        <v>96</v>
      </c>
      <c r="O28" s="48">
        <f t="shared" si="10"/>
        <v>269568000</v>
      </c>
      <c r="P28" s="48">
        <f t="shared" si="15"/>
        <v>96</v>
      </c>
      <c r="Q28" s="48">
        <f t="shared" si="11"/>
        <v>269568000</v>
      </c>
      <c r="R28" s="48">
        <f t="shared" si="4"/>
        <v>1347840000</v>
      </c>
    </row>
    <row r="29" spans="1:18" s="47" customFormat="1" ht="15.75" x14ac:dyDescent="0.25">
      <c r="A29" s="6" t="s">
        <v>50</v>
      </c>
      <c r="B29" s="5" t="s">
        <v>129</v>
      </c>
      <c r="C29" s="45"/>
      <c r="D29" s="45"/>
      <c r="E29" s="45"/>
      <c r="F29" s="45"/>
      <c r="G29" s="45"/>
      <c r="H29" s="45">
        <f t="shared" ref="H29:R29" si="16">SUBTOTAL(9,H30:H37)</f>
        <v>16</v>
      </c>
      <c r="I29" s="45">
        <f t="shared" si="16"/>
        <v>28922400</v>
      </c>
      <c r="J29" s="45">
        <f t="shared" si="16"/>
        <v>16</v>
      </c>
      <c r="K29" s="45">
        <f t="shared" si="16"/>
        <v>28922400</v>
      </c>
      <c r="L29" s="45">
        <f t="shared" si="16"/>
        <v>16</v>
      </c>
      <c r="M29" s="45">
        <f t="shared" si="16"/>
        <v>28922400</v>
      </c>
      <c r="N29" s="45">
        <f t="shared" si="16"/>
        <v>16</v>
      </c>
      <c r="O29" s="45">
        <f t="shared" si="16"/>
        <v>28922400</v>
      </c>
      <c r="P29" s="45">
        <f t="shared" si="16"/>
        <v>16</v>
      </c>
      <c r="Q29" s="45">
        <f t="shared" si="16"/>
        <v>28922400</v>
      </c>
      <c r="R29" s="45">
        <f t="shared" si="16"/>
        <v>144612000</v>
      </c>
    </row>
    <row r="30" spans="1:18" s="50" customFormat="1" ht="15.75" hidden="1" x14ac:dyDescent="0.25">
      <c r="A30" s="7">
        <v>1</v>
      </c>
      <c r="B30" s="7" t="s">
        <v>124</v>
      </c>
      <c r="C30" s="48">
        <f t="shared" ref="C30:G31" si="17">ROUND(C16*50%,0)</f>
        <v>3088800</v>
      </c>
      <c r="D30" s="48">
        <f t="shared" si="17"/>
        <v>0</v>
      </c>
      <c r="E30" s="48">
        <f t="shared" si="17"/>
        <v>0</v>
      </c>
      <c r="F30" s="48">
        <f t="shared" si="17"/>
        <v>0</v>
      </c>
      <c r="G30" s="48">
        <f t="shared" si="17"/>
        <v>0</v>
      </c>
      <c r="H30" s="48">
        <f>H16</f>
        <v>0</v>
      </c>
      <c r="I30" s="48">
        <f t="shared" ref="I30:I37" si="18">$C30*H30</f>
        <v>0</v>
      </c>
      <c r="J30" s="48">
        <f t="shared" ref="J30:J37" si="19">H30</f>
        <v>0</v>
      </c>
      <c r="K30" s="48">
        <f t="shared" ref="K30:K37" si="20">$C30*J30</f>
        <v>0</v>
      </c>
      <c r="L30" s="48">
        <f t="shared" ref="L30:L37" si="21">H30</f>
        <v>0</v>
      </c>
      <c r="M30" s="48">
        <f t="shared" ref="M30:M37" si="22">$C30*L30</f>
        <v>0</v>
      </c>
      <c r="N30" s="48">
        <f>'PL1'!N7</f>
        <v>0</v>
      </c>
      <c r="O30" s="48">
        <f t="shared" ref="O30:O37" si="23">$C30*N30</f>
        <v>0</v>
      </c>
      <c r="P30" s="48">
        <f>N30</f>
        <v>0</v>
      </c>
      <c r="Q30" s="48">
        <f t="shared" ref="Q30:Q37" si="24">$C30*P30</f>
        <v>0</v>
      </c>
      <c r="R30" s="48">
        <f t="shared" si="4"/>
        <v>0</v>
      </c>
    </row>
    <row r="31" spans="1:18" s="50" customFormat="1" ht="15.75" hidden="1" x14ac:dyDescent="0.25">
      <c r="A31" s="7">
        <v>2</v>
      </c>
      <c r="B31" s="44" t="s">
        <v>125</v>
      </c>
      <c r="C31" s="48">
        <f t="shared" si="17"/>
        <v>3088800</v>
      </c>
      <c r="D31" s="48">
        <f t="shared" si="17"/>
        <v>0</v>
      </c>
      <c r="E31" s="48">
        <f t="shared" si="17"/>
        <v>0</v>
      </c>
      <c r="F31" s="48">
        <f t="shared" si="17"/>
        <v>0</v>
      </c>
      <c r="G31" s="48">
        <f t="shared" si="17"/>
        <v>0</v>
      </c>
      <c r="H31" s="48">
        <f>H17</f>
        <v>0</v>
      </c>
      <c r="I31" s="48">
        <f t="shared" si="18"/>
        <v>0</v>
      </c>
      <c r="J31" s="48">
        <f t="shared" si="19"/>
        <v>0</v>
      </c>
      <c r="K31" s="48">
        <f t="shared" si="20"/>
        <v>0</v>
      </c>
      <c r="L31" s="48">
        <f t="shared" si="21"/>
        <v>0</v>
      </c>
      <c r="M31" s="48">
        <f>$C31*L31</f>
        <v>0</v>
      </c>
      <c r="N31" s="48">
        <f>N30</f>
        <v>0</v>
      </c>
      <c r="O31" s="48">
        <f t="shared" si="23"/>
        <v>0</v>
      </c>
      <c r="P31" s="48">
        <f>P30</f>
        <v>0</v>
      </c>
      <c r="Q31" s="48">
        <f t="shared" si="24"/>
        <v>0</v>
      </c>
      <c r="R31" s="48">
        <f t="shared" si="4"/>
        <v>0</v>
      </c>
    </row>
    <row r="32" spans="1:18" s="50" customFormat="1" ht="15.75" hidden="1" x14ac:dyDescent="0.25">
      <c r="A32" s="7">
        <v>3</v>
      </c>
      <c r="B32" s="7" t="s">
        <v>126</v>
      </c>
      <c r="C32" s="48">
        <f>ROUND(312900*50%*12,0)</f>
        <v>1877400</v>
      </c>
      <c r="D32" s="48">
        <f>ROUND(D18*50%,0)</f>
        <v>0</v>
      </c>
      <c r="E32" s="48">
        <f>ROUND(E18*50%,0)</f>
        <v>0</v>
      </c>
      <c r="F32" s="48">
        <f>ROUND(F18*50%,0)</f>
        <v>0</v>
      </c>
      <c r="G32" s="48">
        <f>ROUND(G18*50%,0)</f>
        <v>0</v>
      </c>
      <c r="H32" s="48">
        <f>H18</f>
        <v>0</v>
      </c>
      <c r="I32" s="48">
        <f t="shared" si="18"/>
        <v>0</v>
      </c>
      <c r="J32" s="48">
        <f t="shared" si="19"/>
        <v>0</v>
      </c>
      <c r="K32" s="48">
        <f t="shared" si="20"/>
        <v>0</v>
      </c>
      <c r="L32" s="48">
        <f t="shared" si="21"/>
        <v>0</v>
      </c>
      <c r="M32" s="48">
        <f>$C32*L32</f>
        <v>0</v>
      </c>
      <c r="N32" s="48">
        <f>N30</f>
        <v>0</v>
      </c>
      <c r="O32" s="48">
        <f t="shared" si="23"/>
        <v>0</v>
      </c>
      <c r="P32" s="48">
        <f>P30</f>
        <v>0</v>
      </c>
      <c r="Q32" s="48">
        <f t="shared" si="24"/>
        <v>0</v>
      </c>
      <c r="R32" s="48">
        <f t="shared" si="4"/>
        <v>0</v>
      </c>
    </row>
    <row r="33" spans="1:18" s="50" customFormat="1" ht="15.75" hidden="1" x14ac:dyDescent="0.25">
      <c r="A33" s="7">
        <v>4</v>
      </c>
      <c r="B33" s="44" t="s">
        <v>247</v>
      </c>
      <c r="C33" s="48">
        <f>ROUND(C23*50%,0)</f>
        <v>1684800</v>
      </c>
      <c r="D33" s="48">
        <f>ROUND(D23*50%,0)</f>
        <v>0</v>
      </c>
      <c r="E33" s="48">
        <f>ROUND(E23*50%,0)</f>
        <v>0</v>
      </c>
      <c r="F33" s="48">
        <f>ROUND(F23*50%,0)</f>
        <v>0</v>
      </c>
      <c r="G33" s="48">
        <f>ROUND(G23*50%,0)</f>
        <v>0</v>
      </c>
      <c r="H33" s="48">
        <f>H23</f>
        <v>0</v>
      </c>
      <c r="I33" s="48">
        <f t="shared" si="18"/>
        <v>0</v>
      </c>
      <c r="J33" s="48">
        <f t="shared" si="19"/>
        <v>0</v>
      </c>
      <c r="K33" s="48">
        <f t="shared" si="20"/>
        <v>0</v>
      </c>
      <c r="L33" s="48">
        <f t="shared" si="21"/>
        <v>0</v>
      </c>
      <c r="M33" s="48">
        <f>$C33*L33</f>
        <v>0</v>
      </c>
      <c r="N33" s="48">
        <f>H33</f>
        <v>0</v>
      </c>
      <c r="O33" s="48">
        <f t="shared" si="23"/>
        <v>0</v>
      </c>
      <c r="P33" s="48">
        <f>H33</f>
        <v>0</v>
      </c>
      <c r="Q33" s="48">
        <f t="shared" si="24"/>
        <v>0</v>
      </c>
      <c r="R33" s="48">
        <f t="shared" si="4"/>
        <v>0</v>
      </c>
    </row>
    <row r="34" spans="1:18" s="50" customFormat="1" ht="15.75" x14ac:dyDescent="0.25">
      <c r="A34" s="7">
        <v>1</v>
      </c>
      <c r="B34" s="7" t="s">
        <v>253</v>
      </c>
      <c r="C34" s="48">
        <f>ROUND(C24*50%,0)</f>
        <v>2808000</v>
      </c>
      <c r="D34" s="48"/>
      <c r="E34" s="48"/>
      <c r="F34" s="48"/>
      <c r="G34" s="48"/>
      <c r="H34" s="48">
        <f>H24</f>
        <v>1</v>
      </c>
      <c r="I34" s="48">
        <f t="shared" si="18"/>
        <v>2808000</v>
      </c>
      <c r="J34" s="48">
        <f t="shared" si="19"/>
        <v>1</v>
      </c>
      <c r="K34" s="48">
        <f t="shared" si="20"/>
        <v>2808000</v>
      </c>
      <c r="L34" s="48">
        <f t="shared" si="21"/>
        <v>1</v>
      </c>
      <c r="M34" s="48">
        <f>$C34*L34</f>
        <v>2808000</v>
      </c>
      <c r="N34" s="48">
        <f>H34</f>
        <v>1</v>
      </c>
      <c r="O34" s="48">
        <f>$C34*N34</f>
        <v>2808000</v>
      </c>
      <c r="P34" s="48">
        <f>H34</f>
        <v>1</v>
      </c>
      <c r="Q34" s="48">
        <f>$C34*P34</f>
        <v>2808000</v>
      </c>
      <c r="R34" s="48">
        <f>I34+K34+M34+O34+Q34</f>
        <v>14040000</v>
      </c>
    </row>
    <row r="35" spans="1:18" s="50" customFormat="1" ht="15.75" x14ac:dyDescent="0.25">
      <c r="A35" s="7">
        <v>2</v>
      </c>
      <c r="B35" s="7" t="s">
        <v>132</v>
      </c>
      <c r="C35" s="48">
        <f>ROUND(C26*50%,0)</f>
        <v>2808000</v>
      </c>
      <c r="D35" s="48">
        <f>ROUND(D26*50%,0)</f>
        <v>0</v>
      </c>
      <c r="E35" s="48">
        <f>ROUND(E26*50%,0)</f>
        <v>0</v>
      </c>
      <c r="F35" s="48">
        <f>ROUND(F26*50%,0)</f>
        <v>0</v>
      </c>
      <c r="G35" s="48">
        <f>ROUND(G26*50%,0)</f>
        <v>0</v>
      </c>
      <c r="H35" s="48">
        <f>PL2A!E106</f>
        <v>3</v>
      </c>
      <c r="I35" s="48">
        <f t="shared" si="18"/>
        <v>8424000</v>
      </c>
      <c r="J35" s="48">
        <f t="shared" si="19"/>
        <v>3</v>
      </c>
      <c r="K35" s="48">
        <f t="shared" si="20"/>
        <v>8424000</v>
      </c>
      <c r="L35" s="48">
        <f t="shared" si="21"/>
        <v>3</v>
      </c>
      <c r="M35" s="48">
        <f t="shared" si="22"/>
        <v>8424000</v>
      </c>
      <c r="N35" s="48">
        <f>H35</f>
        <v>3</v>
      </c>
      <c r="O35" s="48">
        <f t="shared" si="23"/>
        <v>8424000</v>
      </c>
      <c r="P35" s="48">
        <f>H35</f>
        <v>3</v>
      </c>
      <c r="Q35" s="48">
        <f t="shared" si="24"/>
        <v>8424000</v>
      </c>
      <c r="R35" s="48">
        <f>I35+K35+M35+O35+Q35</f>
        <v>42120000</v>
      </c>
    </row>
    <row r="36" spans="1:18" s="50" customFormat="1" ht="15.75" x14ac:dyDescent="0.25">
      <c r="A36" s="7">
        <v>3</v>
      </c>
      <c r="B36" s="44" t="s">
        <v>128</v>
      </c>
      <c r="C36" s="48">
        <f>ROUND(C25*50%,0)</f>
        <v>1684800</v>
      </c>
      <c r="D36" s="48"/>
      <c r="E36" s="48"/>
      <c r="F36" s="48"/>
      <c r="G36" s="48"/>
      <c r="H36" s="48">
        <f>H25</f>
        <v>3</v>
      </c>
      <c r="I36" s="48">
        <f t="shared" si="18"/>
        <v>5054400</v>
      </c>
      <c r="J36" s="48">
        <f t="shared" si="19"/>
        <v>3</v>
      </c>
      <c r="K36" s="48">
        <f t="shared" si="20"/>
        <v>5054400</v>
      </c>
      <c r="L36" s="48">
        <f t="shared" si="21"/>
        <v>3</v>
      </c>
      <c r="M36" s="48">
        <f t="shared" si="22"/>
        <v>5054400</v>
      </c>
      <c r="N36" s="48">
        <f>H36</f>
        <v>3</v>
      </c>
      <c r="O36" s="48">
        <f t="shared" si="23"/>
        <v>5054400</v>
      </c>
      <c r="P36" s="48">
        <f>H36</f>
        <v>3</v>
      </c>
      <c r="Q36" s="48">
        <f t="shared" si="24"/>
        <v>5054400</v>
      </c>
      <c r="R36" s="48">
        <f>I36+K36+M36+O36+Q36</f>
        <v>25272000</v>
      </c>
    </row>
    <row r="37" spans="1:18" s="50" customFormat="1" ht="15.75" x14ac:dyDescent="0.25">
      <c r="A37" s="7">
        <v>4</v>
      </c>
      <c r="B37" s="44" t="s">
        <v>130</v>
      </c>
      <c r="C37" s="48">
        <f>ROUND(C28*50%,0)</f>
        <v>1404000</v>
      </c>
      <c r="D37" s="48">
        <f>ROUND(D28*50%,0)</f>
        <v>0</v>
      </c>
      <c r="E37" s="48">
        <f>ROUND(E28*50%,0)</f>
        <v>0</v>
      </c>
      <c r="F37" s="48">
        <f>ROUND(F28*50%,0)</f>
        <v>0</v>
      </c>
      <c r="G37" s="48">
        <f>ROUND(G28*50%,0)</f>
        <v>0</v>
      </c>
      <c r="H37" s="48">
        <f>'PL1'!L7*3</f>
        <v>9</v>
      </c>
      <c r="I37" s="48">
        <f t="shared" si="18"/>
        <v>12636000</v>
      </c>
      <c r="J37" s="48">
        <f t="shared" si="19"/>
        <v>9</v>
      </c>
      <c r="K37" s="48">
        <f t="shared" si="20"/>
        <v>12636000</v>
      </c>
      <c r="L37" s="48">
        <f t="shared" si="21"/>
        <v>9</v>
      </c>
      <c r="M37" s="48">
        <f t="shared" si="22"/>
        <v>12636000</v>
      </c>
      <c r="N37" s="48">
        <f>H37</f>
        <v>9</v>
      </c>
      <c r="O37" s="48">
        <f t="shared" si="23"/>
        <v>12636000</v>
      </c>
      <c r="P37" s="48">
        <f>H37</f>
        <v>9</v>
      </c>
      <c r="Q37" s="48">
        <f t="shared" si="24"/>
        <v>12636000</v>
      </c>
      <c r="R37" s="48">
        <f t="shared" si="4"/>
        <v>63180000</v>
      </c>
    </row>
    <row r="39" spans="1:18" x14ac:dyDescent="0.25">
      <c r="R39" s="69"/>
    </row>
  </sheetData>
  <mergeCells count="13">
    <mergeCell ref="D7:G7"/>
    <mergeCell ref="R4:R5"/>
    <mergeCell ref="A1:R1"/>
    <mergeCell ref="A2:R2"/>
    <mergeCell ref="A3:R3"/>
    <mergeCell ref="A4:A5"/>
    <mergeCell ref="B4:B5"/>
    <mergeCell ref="H4:I4"/>
    <mergeCell ref="J4:K4"/>
    <mergeCell ref="L4:M4"/>
    <mergeCell ref="N4:O4"/>
    <mergeCell ref="C4:G5"/>
    <mergeCell ref="P4:Q4"/>
  </mergeCells>
  <pageMargins left="0.47" right="0.15748031496062992" top="0.74803149606299213" bottom="0.74803149606299213" header="0.31496062992125984" footer="0.31496062992125984"/>
  <pageSetup paperSize="9" scale="80" orientation="landscape" r:id="rId1"/>
  <headerFooter differentFirst="1">
    <oddHeader>&amp;C&amp;P</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95"/>
  <sheetViews>
    <sheetView tabSelected="1" view="pageBreakPreview" zoomScaleNormal="115" zoomScaleSheetLayoutView="100" workbookViewId="0">
      <pane xSplit="2" ySplit="5" topLeftCell="C90" activePane="bottomRight" state="frozen"/>
      <selection activeCell="J192" sqref="J192"/>
      <selection pane="topRight" activeCell="J192" sqref="J192"/>
      <selection pane="bottomLeft" activeCell="J192" sqref="J192"/>
      <selection pane="bottomRight" activeCell="F15" sqref="F15"/>
    </sheetView>
  </sheetViews>
  <sheetFormatPr defaultColWidth="9.140625" defaultRowHeight="15" outlineLevelCol="1" x14ac:dyDescent="0.25"/>
  <cols>
    <col min="1" max="1" width="5" style="103" bestFit="1" customWidth="1"/>
    <col min="2" max="2" width="21.85546875" style="104" customWidth="1"/>
    <col min="3" max="3" width="9.85546875" style="96" customWidth="1"/>
    <col min="4" max="4" width="8.5703125" style="96" customWidth="1"/>
    <col min="5" max="5" width="6.42578125" style="96" customWidth="1"/>
    <col min="6" max="6" width="16.7109375" style="96" customWidth="1"/>
    <col min="7" max="7" width="8.7109375" style="96" customWidth="1"/>
    <col min="8" max="8" width="6.5703125" style="96" customWidth="1"/>
    <col min="9" max="9" width="17.140625" style="96" customWidth="1"/>
    <col min="10" max="10" width="8.28515625" style="96" customWidth="1"/>
    <col min="11" max="11" width="6.28515625" style="96" bestFit="1" customWidth="1"/>
    <col min="12" max="12" width="16.140625" style="96" customWidth="1"/>
    <col min="13" max="13" width="8.42578125" style="96" customWidth="1"/>
    <col min="14" max="14" width="7.42578125" style="96" customWidth="1"/>
    <col min="15" max="15" width="16.140625" style="96" customWidth="1"/>
    <col min="16" max="16" width="8.7109375" style="96" customWidth="1"/>
    <col min="17" max="17" width="6.42578125" style="96" customWidth="1"/>
    <col min="18" max="18" width="17.42578125" style="96" customWidth="1"/>
    <col min="19" max="19" width="18.28515625" style="96" customWidth="1"/>
    <col min="20" max="20" width="23.5703125" style="96" customWidth="1" outlineLevel="1"/>
    <col min="21" max="21" width="18.42578125" style="96" bestFit="1" customWidth="1"/>
    <col min="22" max="16384" width="9.140625" style="96"/>
  </cols>
  <sheetData>
    <row r="1" spans="1:27" s="2" customFormat="1" ht="18.75" x14ac:dyDescent="0.3">
      <c r="A1" s="173" t="s">
        <v>373</v>
      </c>
      <c r="B1" s="173"/>
      <c r="C1" s="173"/>
      <c r="D1" s="173"/>
      <c r="E1" s="173"/>
      <c r="F1" s="173"/>
      <c r="G1" s="173"/>
      <c r="H1" s="173"/>
      <c r="I1" s="173"/>
      <c r="J1" s="173"/>
      <c r="K1" s="173"/>
      <c r="L1" s="173"/>
      <c r="M1" s="173"/>
      <c r="N1" s="173"/>
      <c r="O1" s="173"/>
      <c r="P1" s="173"/>
      <c r="Q1" s="173"/>
      <c r="R1" s="173"/>
      <c r="S1" s="173"/>
      <c r="T1" s="8"/>
      <c r="U1" s="8"/>
      <c r="V1" s="8"/>
      <c r="W1" s="8"/>
      <c r="X1" s="8"/>
      <c r="Y1" s="8"/>
      <c r="Z1" s="8"/>
      <c r="AA1" s="8"/>
    </row>
    <row r="2" spans="1:27" s="2" customFormat="1" ht="78" customHeight="1" x14ac:dyDescent="0.3">
      <c r="A2" s="174" t="s">
        <v>361</v>
      </c>
      <c r="B2" s="173"/>
      <c r="C2" s="173"/>
      <c r="D2" s="173"/>
      <c r="E2" s="173"/>
      <c r="F2" s="173"/>
      <c r="G2" s="173"/>
      <c r="H2" s="173"/>
      <c r="I2" s="173"/>
      <c r="J2" s="173"/>
      <c r="K2" s="173"/>
      <c r="L2" s="173"/>
      <c r="M2" s="173"/>
      <c r="N2" s="173"/>
      <c r="O2" s="173"/>
      <c r="P2" s="173"/>
      <c r="Q2" s="173"/>
      <c r="R2" s="173"/>
      <c r="S2" s="173"/>
      <c r="T2" s="8"/>
      <c r="U2" s="8"/>
      <c r="V2" s="8"/>
      <c r="W2" s="8"/>
      <c r="X2" s="8"/>
      <c r="Y2" s="8"/>
      <c r="Z2" s="8"/>
      <c r="AA2" s="8"/>
    </row>
    <row r="3" spans="1:27" s="3" customFormat="1" ht="18.75" x14ac:dyDescent="0.3">
      <c r="A3" s="175"/>
      <c r="B3" s="175"/>
      <c r="C3" s="175"/>
      <c r="D3" s="175"/>
      <c r="E3" s="175"/>
      <c r="F3" s="175"/>
      <c r="G3" s="175"/>
      <c r="H3" s="175"/>
      <c r="I3" s="175"/>
      <c r="J3" s="175"/>
      <c r="K3" s="175"/>
      <c r="L3" s="175"/>
      <c r="M3" s="175"/>
      <c r="N3" s="175"/>
      <c r="O3" s="175"/>
      <c r="P3" s="175"/>
      <c r="Q3" s="175"/>
      <c r="R3" s="175"/>
      <c r="S3" s="175"/>
      <c r="T3" s="13"/>
      <c r="U3" s="13"/>
      <c r="V3" s="13"/>
      <c r="W3" s="13"/>
      <c r="X3" s="13"/>
      <c r="Y3" s="13"/>
      <c r="Z3" s="13"/>
      <c r="AA3" s="13"/>
    </row>
    <row r="4" spans="1:27" s="10" customFormat="1" ht="18.75" x14ac:dyDescent="0.25">
      <c r="A4" s="176" t="s">
        <v>28</v>
      </c>
      <c r="B4" s="177" t="s">
        <v>118</v>
      </c>
      <c r="C4" s="171" t="s">
        <v>203</v>
      </c>
      <c r="D4" s="176" t="s">
        <v>235</v>
      </c>
      <c r="E4" s="176"/>
      <c r="F4" s="176"/>
      <c r="G4" s="176" t="s">
        <v>236</v>
      </c>
      <c r="H4" s="176"/>
      <c r="I4" s="176"/>
      <c r="J4" s="176" t="s">
        <v>237</v>
      </c>
      <c r="K4" s="176"/>
      <c r="L4" s="176"/>
      <c r="M4" s="176" t="s">
        <v>238</v>
      </c>
      <c r="N4" s="176"/>
      <c r="O4" s="176"/>
      <c r="P4" s="176" t="s">
        <v>239</v>
      </c>
      <c r="Q4" s="176"/>
      <c r="R4" s="176"/>
      <c r="S4" s="177" t="s">
        <v>34</v>
      </c>
      <c r="T4" s="178" t="s">
        <v>150</v>
      </c>
    </row>
    <row r="5" spans="1:27" s="10" customFormat="1" ht="69.75" customHeight="1" x14ac:dyDescent="0.25">
      <c r="A5" s="176"/>
      <c r="B5" s="176"/>
      <c r="C5" s="172"/>
      <c r="D5" s="5" t="s">
        <v>120</v>
      </c>
      <c r="E5" s="5" t="s">
        <v>146</v>
      </c>
      <c r="F5" s="5" t="s">
        <v>33</v>
      </c>
      <c r="G5" s="5" t="s">
        <v>120</v>
      </c>
      <c r="H5" s="5" t="s">
        <v>301</v>
      </c>
      <c r="I5" s="5" t="s">
        <v>33</v>
      </c>
      <c r="J5" s="5" t="s">
        <v>120</v>
      </c>
      <c r="K5" s="5" t="s">
        <v>301</v>
      </c>
      <c r="L5" s="5" t="s">
        <v>33</v>
      </c>
      <c r="M5" s="5" t="s">
        <v>120</v>
      </c>
      <c r="N5" s="5" t="s">
        <v>301</v>
      </c>
      <c r="O5" s="5" t="s">
        <v>33</v>
      </c>
      <c r="P5" s="5" t="s">
        <v>120</v>
      </c>
      <c r="Q5" s="5" t="s">
        <v>301</v>
      </c>
      <c r="R5" s="5" t="s">
        <v>33</v>
      </c>
      <c r="S5" s="176"/>
      <c r="T5" s="178"/>
    </row>
    <row r="6" spans="1:27" s="10" customFormat="1" ht="18.75" x14ac:dyDescent="0.25">
      <c r="A6" s="6" t="s">
        <v>117</v>
      </c>
      <c r="B6" s="6" t="s">
        <v>296</v>
      </c>
      <c r="C6" s="82"/>
      <c r="D6" s="51">
        <f t="shared" ref="D6:S6" si="0">SUBTOTAL(9,D7:D95)</f>
        <v>6600</v>
      </c>
      <c r="E6" s="51">
        <f t="shared" si="0"/>
        <v>1421</v>
      </c>
      <c r="F6" s="51">
        <f t="shared" si="0"/>
        <v>13105738580</v>
      </c>
      <c r="G6" s="51">
        <f t="shared" si="0"/>
        <v>4484</v>
      </c>
      <c r="H6" s="51">
        <f t="shared" si="0"/>
        <v>1397</v>
      </c>
      <c r="I6" s="51">
        <f t="shared" si="0"/>
        <v>9603644180</v>
      </c>
      <c r="J6" s="51">
        <f t="shared" si="0"/>
        <v>4484</v>
      </c>
      <c r="K6" s="51">
        <f t="shared" si="0"/>
        <v>1397</v>
      </c>
      <c r="L6" s="51">
        <f t="shared" si="0"/>
        <v>9603644180</v>
      </c>
      <c r="M6" s="51">
        <f t="shared" si="0"/>
        <v>6044</v>
      </c>
      <c r="N6" s="51">
        <f t="shared" si="0"/>
        <v>1425</v>
      </c>
      <c r="O6" s="51">
        <f t="shared" si="0"/>
        <v>11785460180</v>
      </c>
      <c r="P6" s="51">
        <f t="shared" si="0"/>
        <v>4484</v>
      </c>
      <c r="Q6" s="51">
        <f t="shared" si="0"/>
        <v>1397</v>
      </c>
      <c r="R6" s="51">
        <f t="shared" si="0"/>
        <v>9603644180</v>
      </c>
      <c r="S6" s="51">
        <f t="shared" si="0"/>
        <v>53702131300</v>
      </c>
      <c r="T6" s="11"/>
      <c r="U6" s="83"/>
    </row>
    <row r="7" spans="1:27" s="88" customFormat="1" ht="14.25" x14ac:dyDescent="0.25">
      <c r="A7" s="84" t="s">
        <v>216</v>
      </c>
      <c r="B7" s="85" t="s">
        <v>288</v>
      </c>
      <c r="C7" s="86"/>
      <c r="D7" s="86"/>
      <c r="E7" s="86"/>
      <c r="F7" s="86">
        <f>SUBTOTAL(9,F8:F13)</f>
        <v>277722000</v>
      </c>
      <c r="G7" s="86"/>
      <c r="H7" s="86"/>
      <c r="I7" s="86">
        <f>SUBTOTAL(9,I8:I13)</f>
        <v>277722000</v>
      </c>
      <c r="J7" s="86"/>
      <c r="K7" s="86"/>
      <c r="L7" s="86">
        <f>SUBTOTAL(9,L8:L13)</f>
        <v>277722000</v>
      </c>
      <c r="M7" s="86"/>
      <c r="N7" s="86"/>
      <c r="O7" s="86">
        <f>SUBTOTAL(9,O8:O13)</f>
        <v>277722000</v>
      </c>
      <c r="P7" s="86"/>
      <c r="Q7" s="86"/>
      <c r="R7" s="86">
        <f>SUBTOTAL(9,R8:R13)</f>
        <v>277722000</v>
      </c>
      <c r="S7" s="86">
        <f>SUBTOTAL(9,S8:S13)</f>
        <v>1388610000</v>
      </c>
      <c r="T7" s="87"/>
      <c r="U7" s="83"/>
    </row>
    <row r="8" spans="1:27" s="88" customFormat="1" ht="30" x14ac:dyDescent="0.25">
      <c r="A8" s="84" t="s">
        <v>35</v>
      </c>
      <c r="B8" s="89" t="s">
        <v>330</v>
      </c>
      <c r="C8" s="86"/>
      <c r="D8" s="86">
        <v>25</v>
      </c>
      <c r="E8" s="86"/>
      <c r="F8" s="86">
        <f>SUBTOTAL(9,F9:F10)</f>
        <v>49950000</v>
      </c>
      <c r="G8" s="86">
        <f>D8</f>
        <v>25</v>
      </c>
      <c r="H8" s="86"/>
      <c r="I8" s="86">
        <f>SUBTOTAL(9,I9:I10)</f>
        <v>49950000</v>
      </c>
      <c r="J8" s="86">
        <f>D8</f>
        <v>25</v>
      </c>
      <c r="K8" s="86"/>
      <c r="L8" s="86">
        <f>SUBTOTAL(9,L9:L10)</f>
        <v>49950000</v>
      </c>
      <c r="M8" s="86">
        <f>D8</f>
        <v>25</v>
      </c>
      <c r="N8" s="86"/>
      <c r="O8" s="86">
        <f>SUBTOTAL(9,O9:O10)</f>
        <v>49950000</v>
      </c>
      <c r="P8" s="86">
        <f>D8</f>
        <v>25</v>
      </c>
      <c r="Q8" s="86"/>
      <c r="R8" s="86">
        <f>SUBTOTAL(9,R9:R10)</f>
        <v>49950000</v>
      </c>
      <c r="S8" s="86">
        <f>SUBTOTAL(9,S9:S10)</f>
        <v>249750000</v>
      </c>
      <c r="T8" s="137" t="s">
        <v>309</v>
      </c>
    </row>
    <row r="9" spans="1:27" x14ac:dyDescent="0.25">
      <c r="A9" s="92">
        <v>1</v>
      </c>
      <c r="B9" s="93" t="s">
        <v>134</v>
      </c>
      <c r="C9" s="94">
        <v>72000</v>
      </c>
      <c r="D9" s="94">
        <f>D8</f>
        <v>25</v>
      </c>
      <c r="E9" s="94">
        <v>5</v>
      </c>
      <c r="F9" s="94">
        <f>D9*E9*$C9</f>
        <v>9000000</v>
      </c>
      <c r="G9" s="94">
        <f>G8</f>
        <v>25</v>
      </c>
      <c r="H9" s="94">
        <v>5</v>
      </c>
      <c r="I9" s="94">
        <f>G9*H9*$C9</f>
        <v>9000000</v>
      </c>
      <c r="J9" s="94">
        <f>J8</f>
        <v>25</v>
      </c>
      <c r="K9" s="94">
        <v>5</v>
      </c>
      <c r="L9" s="94">
        <f>J9*K9*$C9</f>
        <v>9000000</v>
      </c>
      <c r="M9" s="94">
        <f>M8</f>
        <v>25</v>
      </c>
      <c r="N9" s="94">
        <v>5</v>
      </c>
      <c r="O9" s="94">
        <f>M9*N9*$C9</f>
        <v>9000000</v>
      </c>
      <c r="P9" s="94">
        <f>P8</f>
        <v>25</v>
      </c>
      <c r="Q9" s="94">
        <v>5</v>
      </c>
      <c r="R9" s="94">
        <f>P9*Q9*$C9</f>
        <v>9000000</v>
      </c>
      <c r="S9" s="94">
        <f>F9+I9+L9+O9+R9</f>
        <v>45000000</v>
      </c>
      <c r="T9" s="95"/>
    </row>
    <row r="10" spans="1:27" x14ac:dyDescent="0.25">
      <c r="A10" s="92">
        <v>2</v>
      </c>
      <c r="B10" s="93" t="s">
        <v>205</v>
      </c>
      <c r="C10" s="94">
        <v>327600</v>
      </c>
      <c r="D10" s="94">
        <f>D9</f>
        <v>25</v>
      </c>
      <c r="E10" s="94">
        <v>5</v>
      </c>
      <c r="F10" s="94">
        <f>D10*E10*$C10</f>
        <v>40950000</v>
      </c>
      <c r="G10" s="94">
        <f>G9</f>
        <v>25</v>
      </c>
      <c r="H10" s="94">
        <v>5</v>
      </c>
      <c r="I10" s="94">
        <f>G10*H10*$C10</f>
        <v>40950000</v>
      </c>
      <c r="J10" s="94">
        <f>J9</f>
        <v>25</v>
      </c>
      <c r="K10" s="94">
        <v>5</v>
      </c>
      <c r="L10" s="94">
        <f>J10*K10*$C10</f>
        <v>40950000</v>
      </c>
      <c r="M10" s="94">
        <f>M9</f>
        <v>25</v>
      </c>
      <c r="N10" s="94">
        <v>5</v>
      </c>
      <c r="O10" s="94">
        <f>M10*N10*$C10</f>
        <v>40950000</v>
      </c>
      <c r="P10" s="94">
        <f>P9</f>
        <v>25</v>
      </c>
      <c r="Q10" s="94">
        <v>5</v>
      </c>
      <c r="R10" s="94">
        <f>P10*Q10*$C10</f>
        <v>40950000</v>
      </c>
      <c r="S10" s="94">
        <f>F10+I10+L10+O10+R10</f>
        <v>204750000</v>
      </c>
      <c r="T10" s="95"/>
    </row>
    <row r="11" spans="1:27" s="88" customFormat="1" ht="30" x14ac:dyDescent="0.25">
      <c r="A11" s="84" t="s">
        <v>47</v>
      </c>
      <c r="B11" s="116" t="s">
        <v>339</v>
      </c>
      <c r="C11" s="86"/>
      <c r="D11" s="86">
        <v>114</v>
      </c>
      <c r="E11" s="86"/>
      <c r="F11" s="86">
        <f>SUBTOTAL(9,F12:F13)</f>
        <v>227772000</v>
      </c>
      <c r="G11" s="86">
        <f>D11</f>
        <v>114</v>
      </c>
      <c r="H11" s="86"/>
      <c r="I11" s="86">
        <f>SUBTOTAL(9,I12:I13)</f>
        <v>227772000</v>
      </c>
      <c r="J11" s="86">
        <f>D11</f>
        <v>114</v>
      </c>
      <c r="K11" s="86"/>
      <c r="L11" s="86">
        <f>SUBTOTAL(9,L12:L13)</f>
        <v>227772000</v>
      </c>
      <c r="M11" s="86">
        <f>D11</f>
        <v>114</v>
      </c>
      <c r="N11" s="86"/>
      <c r="O11" s="86">
        <f>SUBTOTAL(9,O12:O13)</f>
        <v>227772000</v>
      </c>
      <c r="P11" s="86">
        <f>D11</f>
        <v>114</v>
      </c>
      <c r="Q11" s="86"/>
      <c r="R11" s="86">
        <f>SUBTOTAL(9,R12:R13)</f>
        <v>227772000</v>
      </c>
      <c r="S11" s="86">
        <f>SUBTOTAL(9,S12:S13)</f>
        <v>1138860000</v>
      </c>
      <c r="T11" s="136" t="s">
        <v>308</v>
      </c>
    </row>
    <row r="12" spans="1:27" x14ac:dyDescent="0.25">
      <c r="A12" s="92">
        <v>1</v>
      </c>
      <c r="B12" s="93" t="s">
        <v>134</v>
      </c>
      <c r="C12" s="94">
        <v>72000</v>
      </c>
      <c r="D12" s="94">
        <f>D11</f>
        <v>114</v>
      </c>
      <c r="E12" s="94">
        <v>5</v>
      </c>
      <c r="F12" s="94">
        <f>D12*E12*$C12</f>
        <v>41040000</v>
      </c>
      <c r="G12" s="94">
        <f>G11</f>
        <v>114</v>
      </c>
      <c r="H12" s="94">
        <v>5</v>
      </c>
      <c r="I12" s="94">
        <f>G12*H12*$C12</f>
        <v>41040000</v>
      </c>
      <c r="J12" s="94">
        <f>J11</f>
        <v>114</v>
      </c>
      <c r="K12" s="94">
        <v>5</v>
      </c>
      <c r="L12" s="94">
        <f>J12*K12*$C12</f>
        <v>41040000</v>
      </c>
      <c r="M12" s="94">
        <f>M11</f>
        <v>114</v>
      </c>
      <c r="N12" s="94">
        <v>5</v>
      </c>
      <c r="O12" s="94">
        <f>M12*N12*$C12</f>
        <v>41040000</v>
      </c>
      <c r="P12" s="94">
        <f>P11</f>
        <v>114</v>
      </c>
      <c r="Q12" s="94">
        <v>5</v>
      </c>
      <c r="R12" s="94">
        <f>P12*Q12*$C12</f>
        <v>41040000</v>
      </c>
      <c r="S12" s="94">
        <f>F12+I12+L12+O12+R12</f>
        <v>205200000</v>
      </c>
      <c r="T12" s="95"/>
    </row>
    <row r="13" spans="1:27" x14ac:dyDescent="0.25">
      <c r="A13" s="92">
        <v>2</v>
      </c>
      <c r="B13" s="93" t="s">
        <v>205</v>
      </c>
      <c r="C13" s="94">
        <v>327600</v>
      </c>
      <c r="D13" s="94">
        <f>D11</f>
        <v>114</v>
      </c>
      <c r="E13" s="94">
        <v>5</v>
      </c>
      <c r="F13" s="94">
        <f>D13*E13*$C13</f>
        <v>186732000</v>
      </c>
      <c r="G13" s="94">
        <f>G11</f>
        <v>114</v>
      </c>
      <c r="H13" s="94">
        <v>5</v>
      </c>
      <c r="I13" s="94">
        <f>G13*H13*$C13</f>
        <v>186732000</v>
      </c>
      <c r="J13" s="94">
        <f>J11</f>
        <v>114</v>
      </c>
      <c r="K13" s="94">
        <v>5</v>
      </c>
      <c r="L13" s="94">
        <f>J13*K13*$C13</f>
        <v>186732000</v>
      </c>
      <c r="M13" s="94">
        <f>M11</f>
        <v>114</v>
      </c>
      <c r="N13" s="94">
        <v>5</v>
      </c>
      <c r="O13" s="94">
        <f>M13*N13*$C13</f>
        <v>186732000</v>
      </c>
      <c r="P13" s="94">
        <f>P11</f>
        <v>114</v>
      </c>
      <c r="Q13" s="94">
        <v>5</v>
      </c>
      <c r="R13" s="94">
        <f>P13*Q13*$C13</f>
        <v>186732000</v>
      </c>
      <c r="S13" s="94">
        <f>F13+I13+L13+O13+R13</f>
        <v>933660000</v>
      </c>
      <c r="T13" s="95"/>
    </row>
    <row r="14" spans="1:27" s="88" customFormat="1" ht="28.5" x14ac:dyDescent="0.25">
      <c r="A14" s="84" t="s">
        <v>214</v>
      </c>
      <c r="B14" s="85" t="s">
        <v>217</v>
      </c>
      <c r="C14" s="86"/>
      <c r="D14" s="86"/>
      <c r="E14" s="86"/>
      <c r="F14" s="86">
        <f>SUBTOTAL(9,F15:F58)</f>
        <v>10604026580</v>
      </c>
      <c r="G14" s="86"/>
      <c r="H14" s="86"/>
      <c r="I14" s="86">
        <f>SUBTOTAL(9,I15:I58)</f>
        <v>9255376580</v>
      </c>
      <c r="J14" s="86"/>
      <c r="K14" s="86"/>
      <c r="L14" s="86">
        <f>SUBTOTAL(9,L15:L58)</f>
        <v>9255376580</v>
      </c>
      <c r="M14" s="86"/>
      <c r="N14" s="86"/>
      <c r="O14" s="86">
        <f>SUBTOTAL(9,O15:O58)</f>
        <v>9255376580</v>
      </c>
      <c r="P14" s="86"/>
      <c r="Q14" s="86"/>
      <c r="R14" s="86">
        <f>SUBTOTAL(9,R15:R58)</f>
        <v>9255376580</v>
      </c>
      <c r="S14" s="86">
        <f>SUBTOTAL(9,S15:S58)</f>
        <v>47625532900</v>
      </c>
      <c r="T14" s="87"/>
      <c r="U14" s="83"/>
    </row>
    <row r="15" spans="1:27" s="91" customFormat="1" x14ac:dyDescent="0.25">
      <c r="A15" s="84" t="s">
        <v>35</v>
      </c>
      <c r="B15" s="89" t="s">
        <v>135</v>
      </c>
      <c r="C15" s="90"/>
      <c r="D15" s="90">
        <f>PL2A!E27</f>
        <v>84</v>
      </c>
      <c r="E15" s="90"/>
      <c r="F15" s="90">
        <f>SUBTOTAL(9,F16:F17)</f>
        <v>402796800</v>
      </c>
      <c r="G15" s="90">
        <f>D15</f>
        <v>84</v>
      </c>
      <c r="H15" s="90"/>
      <c r="I15" s="90">
        <f>SUBTOTAL(9,I16:I17)</f>
        <v>402796800</v>
      </c>
      <c r="J15" s="90">
        <f>G15</f>
        <v>84</v>
      </c>
      <c r="K15" s="90"/>
      <c r="L15" s="90">
        <f>SUBTOTAL(9,L16:L17)</f>
        <v>402796800</v>
      </c>
      <c r="M15" s="90">
        <f>G15</f>
        <v>84</v>
      </c>
      <c r="N15" s="90"/>
      <c r="O15" s="90">
        <f>SUBTOTAL(9,O16:O17)</f>
        <v>402796800</v>
      </c>
      <c r="P15" s="90">
        <f>G15</f>
        <v>84</v>
      </c>
      <c r="Q15" s="90"/>
      <c r="R15" s="90">
        <f>SUBTOTAL(9,R16:R17)</f>
        <v>402796800</v>
      </c>
      <c r="S15" s="90">
        <f>SUBTOTAL(9,S16:S17)</f>
        <v>2013984000</v>
      </c>
      <c r="T15" s="95" t="s">
        <v>149</v>
      </c>
    </row>
    <row r="16" spans="1:27" x14ac:dyDescent="0.25">
      <c r="A16" s="92">
        <v>1</v>
      </c>
      <c r="B16" s="93" t="s">
        <v>134</v>
      </c>
      <c r="C16" s="94">
        <v>72000</v>
      </c>
      <c r="D16" s="94">
        <f>D15</f>
        <v>84</v>
      </c>
      <c r="E16" s="94">
        <v>12</v>
      </c>
      <c r="F16" s="94">
        <f>D16*E16*$C16</f>
        <v>72576000</v>
      </c>
      <c r="G16" s="94">
        <f>G15</f>
        <v>84</v>
      </c>
      <c r="H16" s="94">
        <v>12</v>
      </c>
      <c r="I16" s="94">
        <f>G16*H16*$C16</f>
        <v>72576000</v>
      </c>
      <c r="J16" s="94">
        <f>J15</f>
        <v>84</v>
      </c>
      <c r="K16" s="94">
        <v>12</v>
      </c>
      <c r="L16" s="94">
        <f>J16*K16*$C16</f>
        <v>72576000</v>
      </c>
      <c r="M16" s="94">
        <f>M15</f>
        <v>84</v>
      </c>
      <c r="N16" s="94">
        <v>12</v>
      </c>
      <c r="O16" s="94">
        <f>M16*N16*$C16</f>
        <v>72576000</v>
      </c>
      <c r="P16" s="94">
        <f>P15</f>
        <v>84</v>
      </c>
      <c r="Q16" s="94">
        <v>12</v>
      </c>
      <c r="R16" s="94">
        <f>P16*Q16*$C16</f>
        <v>72576000</v>
      </c>
      <c r="S16" s="94">
        <f>F16+I16+L16+O16+R16</f>
        <v>362880000</v>
      </c>
      <c r="T16" s="95"/>
    </row>
    <row r="17" spans="1:20" x14ac:dyDescent="0.25">
      <c r="A17" s="92">
        <v>2</v>
      </c>
      <c r="B17" s="93" t="s">
        <v>205</v>
      </c>
      <c r="C17" s="94">
        <v>327600</v>
      </c>
      <c r="D17" s="94">
        <f>D16</f>
        <v>84</v>
      </c>
      <c r="E17" s="94">
        <v>12</v>
      </c>
      <c r="F17" s="94">
        <f>D17*E17*$C17</f>
        <v>330220800</v>
      </c>
      <c r="G17" s="94">
        <f>G16</f>
        <v>84</v>
      </c>
      <c r="H17" s="94">
        <v>12</v>
      </c>
      <c r="I17" s="94">
        <f>G17*H17*$C17</f>
        <v>330220800</v>
      </c>
      <c r="J17" s="94">
        <f>J16</f>
        <v>84</v>
      </c>
      <c r="K17" s="94">
        <v>12</v>
      </c>
      <c r="L17" s="94">
        <f>J17*K17*$C17</f>
        <v>330220800</v>
      </c>
      <c r="M17" s="94">
        <f>M16</f>
        <v>84</v>
      </c>
      <c r="N17" s="94">
        <v>12</v>
      </c>
      <c r="O17" s="94">
        <f>M17*N17*$C17</f>
        <v>330220800</v>
      </c>
      <c r="P17" s="94">
        <f>P16</f>
        <v>84</v>
      </c>
      <c r="Q17" s="94">
        <v>12</v>
      </c>
      <c r="R17" s="94">
        <f>P17*Q17*$C17</f>
        <v>330220800</v>
      </c>
      <c r="S17" s="94">
        <f>F17+I17+L17+O17+R17</f>
        <v>1651104000</v>
      </c>
      <c r="T17" s="95"/>
    </row>
    <row r="18" spans="1:20" s="91" customFormat="1" hidden="1" x14ac:dyDescent="0.25">
      <c r="A18" s="84" t="s">
        <v>47</v>
      </c>
      <c r="B18" s="89" t="s">
        <v>18</v>
      </c>
      <c r="C18" s="90"/>
      <c r="D18" s="90">
        <f>'PL1'!M11</f>
        <v>0</v>
      </c>
      <c r="E18" s="90"/>
      <c r="F18" s="90">
        <f>SUBTOTAL(9,F19:F21)</f>
        <v>0</v>
      </c>
      <c r="G18" s="90">
        <f>D18</f>
        <v>0</v>
      </c>
      <c r="H18" s="90"/>
      <c r="I18" s="90">
        <f>SUBTOTAL(9,I19:I21)</f>
        <v>0</v>
      </c>
      <c r="J18" s="90">
        <f>D18</f>
        <v>0</v>
      </c>
      <c r="K18" s="90"/>
      <c r="L18" s="90">
        <f>SUBTOTAL(9,L19:L21)</f>
        <v>0</v>
      </c>
      <c r="M18" s="90">
        <f>D18</f>
        <v>0</v>
      </c>
      <c r="N18" s="90"/>
      <c r="O18" s="90">
        <f>SUBTOTAL(9,O19:O21)</f>
        <v>0</v>
      </c>
      <c r="P18" s="90">
        <f>D18</f>
        <v>0</v>
      </c>
      <c r="Q18" s="90"/>
      <c r="R18" s="90">
        <f>SUBTOTAL(9,R19:R21)</f>
        <v>0</v>
      </c>
      <c r="S18" s="90">
        <f>SUBTOTAL(9,S19:S21)</f>
        <v>0</v>
      </c>
      <c r="T18" s="95"/>
    </row>
    <row r="19" spans="1:20" hidden="1" x14ac:dyDescent="0.25">
      <c r="A19" s="92">
        <v>1</v>
      </c>
      <c r="B19" s="93" t="s">
        <v>206</v>
      </c>
      <c r="C19" s="94">
        <f>105300*12</f>
        <v>1263600</v>
      </c>
      <c r="D19" s="94">
        <f>D18</f>
        <v>0</v>
      </c>
      <c r="E19" s="94"/>
      <c r="F19" s="94">
        <f>D19*C19</f>
        <v>0</v>
      </c>
      <c r="G19" s="94">
        <f>G18</f>
        <v>0</v>
      </c>
      <c r="H19" s="94"/>
      <c r="I19" s="94">
        <f>G19*$C19</f>
        <v>0</v>
      </c>
      <c r="J19" s="94">
        <f>J18</f>
        <v>0</v>
      </c>
      <c r="K19" s="94"/>
      <c r="L19" s="94">
        <f>J19*$C19</f>
        <v>0</v>
      </c>
      <c r="M19" s="94">
        <f>M18</f>
        <v>0</v>
      </c>
      <c r="N19" s="94"/>
      <c r="O19" s="94">
        <f>M19*$C19</f>
        <v>0</v>
      </c>
      <c r="P19" s="94">
        <f>P18</f>
        <v>0</v>
      </c>
      <c r="Q19" s="94"/>
      <c r="R19" s="94">
        <f>P19*$C19</f>
        <v>0</v>
      </c>
      <c r="S19" s="94">
        <f>F19+I19+L19+O19+R19</f>
        <v>0</v>
      </c>
      <c r="T19" s="95"/>
    </row>
    <row r="20" spans="1:20" hidden="1" x14ac:dyDescent="0.25">
      <c r="A20" s="92">
        <v>2</v>
      </c>
      <c r="B20" s="93" t="s">
        <v>207</v>
      </c>
      <c r="C20" s="94">
        <f>2300000*22.5%*12</f>
        <v>6210000</v>
      </c>
      <c r="D20" s="94">
        <f>D18</f>
        <v>0</v>
      </c>
      <c r="E20" s="94"/>
      <c r="F20" s="94">
        <f>D20*C20</f>
        <v>0</v>
      </c>
      <c r="G20" s="94">
        <f>G18</f>
        <v>0</v>
      </c>
      <c r="H20" s="94"/>
      <c r="I20" s="94">
        <f>G20*$C20</f>
        <v>0</v>
      </c>
      <c r="J20" s="94">
        <f>J18</f>
        <v>0</v>
      </c>
      <c r="K20" s="94"/>
      <c r="L20" s="94">
        <f>J20*$C20</f>
        <v>0</v>
      </c>
      <c r="M20" s="94">
        <f>M18</f>
        <v>0</v>
      </c>
      <c r="N20" s="94"/>
      <c r="O20" s="94">
        <f>M20*$C20</f>
        <v>0</v>
      </c>
      <c r="P20" s="94">
        <f>P18</f>
        <v>0</v>
      </c>
      <c r="Q20" s="94"/>
      <c r="R20" s="94">
        <f>P20*$C20</f>
        <v>0</v>
      </c>
      <c r="S20" s="94">
        <f>F20+I20+L20+O20+R20</f>
        <v>0</v>
      </c>
      <c r="T20" s="95"/>
    </row>
    <row r="21" spans="1:20" ht="18" hidden="1" x14ac:dyDescent="0.25">
      <c r="A21" s="111">
        <v>3</v>
      </c>
      <c r="B21" s="112" t="s">
        <v>196</v>
      </c>
      <c r="C21" s="94">
        <f>4680000*2</f>
        <v>9360000</v>
      </c>
      <c r="D21" s="94">
        <f>D18*25%</f>
        <v>0</v>
      </c>
      <c r="E21" s="94"/>
      <c r="F21" s="94">
        <f>D21*C21</f>
        <v>0</v>
      </c>
      <c r="G21" s="94">
        <f>D21</f>
        <v>0</v>
      </c>
      <c r="H21" s="94"/>
      <c r="I21" s="94">
        <f>G21*$C21</f>
        <v>0</v>
      </c>
      <c r="J21" s="94">
        <f>D21</f>
        <v>0</v>
      </c>
      <c r="K21" s="94"/>
      <c r="L21" s="94">
        <f>J21*$C21</f>
        <v>0</v>
      </c>
      <c r="M21" s="94">
        <f>D21</f>
        <v>0</v>
      </c>
      <c r="N21" s="94"/>
      <c r="O21" s="94">
        <f>M21*$C21</f>
        <v>0</v>
      </c>
      <c r="P21" s="94">
        <f>D21</f>
        <v>0</v>
      </c>
      <c r="Q21" s="94"/>
      <c r="R21" s="94">
        <f>P21*$C21</f>
        <v>0</v>
      </c>
      <c r="S21" s="94">
        <f>F21+I21+L21+O21+R21</f>
        <v>0</v>
      </c>
      <c r="T21" s="99" t="s">
        <v>208</v>
      </c>
    </row>
    <row r="22" spans="1:20" s="91" customFormat="1" ht="14.25" x14ac:dyDescent="0.2">
      <c r="A22" s="84" t="s">
        <v>47</v>
      </c>
      <c r="B22" s="89" t="s">
        <v>293</v>
      </c>
      <c r="C22" s="90"/>
      <c r="D22" s="90">
        <v>28</v>
      </c>
      <c r="E22" s="90"/>
      <c r="F22" s="90">
        <f>SUBTOTAL(9,F23:F28)</f>
        <v>4473287780</v>
      </c>
      <c r="G22" s="90">
        <f>D22</f>
        <v>28</v>
      </c>
      <c r="H22" s="90"/>
      <c r="I22" s="90">
        <f>SUBTOTAL(9,I23:I28)</f>
        <v>4473287780</v>
      </c>
      <c r="J22" s="90">
        <f>D22</f>
        <v>28</v>
      </c>
      <c r="K22" s="90"/>
      <c r="L22" s="90">
        <f>SUBTOTAL(9,L23:L28)</f>
        <v>4473287780</v>
      </c>
      <c r="M22" s="90">
        <f>D22</f>
        <v>28</v>
      </c>
      <c r="N22" s="90"/>
      <c r="O22" s="90">
        <f>SUBTOTAL(9,O23:O28)</f>
        <v>4473287780</v>
      </c>
      <c r="P22" s="90">
        <f>D22</f>
        <v>28</v>
      </c>
      <c r="Q22" s="90"/>
      <c r="R22" s="90">
        <f>SUBTOTAL(9,R23:R28)</f>
        <v>4473287780</v>
      </c>
      <c r="S22" s="90">
        <f>SUBTOTAL(9,S23:S28)</f>
        <v>22366438900</v>
      </c>
      <c r="T22" s="101" t="s">
        <v>181</v>
      </c>
    </row>
    <row r="23" spans="1:20" x14ac:dyDescent="0.25">
      <c r="A23" s="92">
        <v>1</v>
      </c>
      <c r="B23" s="93" t="s">
        <v>134</v>
      </c>
      <c r="C23" s="94">
        <v>72000</v>
      </c>
      <c r="D23" s="94">
        <v>28</v>
      </c>
      <c r="E23" s="94">
        <v>365</v>
      </c>
      <c r="F23" s="94">
        <f>D23*E23*$C23</f>
        <v>735840000</v>
      </c>
      <c r="G23" s="94">
        <f>G22</f>
        <v>28</v>
      </c>
      <c r="H23" s="94">
        <v>365</v>
      </c>
      <c r="I23" s="94">
        <f>G23*H23*$C23</f>
        <v>735840000</v>
      </c>
      <c r="J23" s="94">
        <f>J22</f>
        <v>28</v>
      </c>
      <c r="K23" s="94">
        <v>365</v>
      </c>
      <c r="L23" s="94">
        <f>J23*K23*$C23</f>
        <v>735840000</v>
      </c>
      <c r="M23" s="94">
        <f>M22</f>
        <v>28</v>
      </c>
      <c r="N23" s="94">
        <v>365</v>
      </c>
      <c r="O23" s="94">
        <f>M23*N23*$C23</f>
        <v>735840000</v>
      </c>
      <c r="P23" s="94">
        <f>P22</f>
        <v>28</v>
      </c>
      <c r="Q23" s="94">
        <v>365</v>
      </c>
      <c r="R23" s="94">
        <f>P23*Q23*$C23</f>
        <v>735840000</v>
      </c>
      <c r="S23" s="94">
        <f t="shared" ref="S23:S28" si="1">F23+I23+L23+O23+R23</f>
        <v>3679200000</v>
      </c>
      <c r="T23" s="95"/>
    </row>
    <row r="24" spans="1:20" x14ac:dyDescent="0.25">
      <c r="A24" s="92">
        <v>2</v>
      </c>
      <c r="B24" s="93" t="s">
        <v>205</v>
      </c>
      <c r="C24" s="94">
        <v>327600</v>
      </c>
      <c r="D24" s="94">
        <f>D22</f>
        <v>28</v>
      </c>
      <c r="E24" s="94">
        <v>365</v>
      </c>
      <c r="F24" s="94">
        <f>D24*E24*$C24</f>
        <v>3348072000</v>
      </c>
      <c r="G24" s="94">
        <f>G22</f>
        <v>28</v>
      </c>
      <c r="H24" s="94">
        <v>365</v>
      </c>
      <c r="I24" s="94">
        <f>G24*H24*$C24</f>
        <v>3348072000</v>
      </c>
      <c r="J24" s="94">
        <f>J22</f>
        <v>28</v>
      </c>
      <c r="K24" s="94">
        <v>365</v>
      </c>
      <c r="L24" s="94">
        <f>J24*K24*$C24</f>
        <v>3348072000</v>
      </c>
      <c r="M24" s="94">
        <f>M22</f>
        <v>28</v>
      </c>
      <c r="N24" s="94">
        <v>365</v>
      </c>
      <c r="O24" s="94">
        <f>M24*N24*$C24</f>
        <v>3348072000</v>
      </c>
      <c r="P24" s="94">
        <f>P22</f>
        <v>28</v>
      </c>
      <c r="Q24" s="94">
        <v>365</v>
      </c>
      <c r="R24" s="94">
        <f>P24*Q24*$C24</f>
        <v>3348072000</v>
      </c>
      <c r="S24" s="94">
        <f t="shared" si="1"/>
        <v>16740360000</v>
      </c>
      <c r="T24" s="95"/>
    </row>
    <row r="25" spans="1:20" x14ac:dyDescent="0.25">
      <c r="A25" s="92">
        <v>3</v>
      </c>
      <c r="B25" s="93" t="s">
        <v>364</v>
      </c>
      <c r="C25" s="94">
        <v>134452</v>
      </c>
      <c r="D25" s="94">
        <v>28</v>
      </c>
      <c r="E25" s="94">
        <v>365</v>
      </c>
      <c r="F25" s="94">
        <f>C25*E25</f>
        <v>49074980</v>
      </c>
      <c r="G25" s="94">
        <f>G23</f>
        <v>28</v>
      </c>
      <c r="H25" s="94">
        <v>365</v>
      </c>
      <c r="I25" s="94">
        <f>H25*C25</f>
        <v>49074980</v>
      </c>
      <c r="J25" s="94">
        <f>J23</f>
        <v>28</v>
      </c>
      <c r="K25" s="94">
        <v>365</v>
      </c>
      <c r="L25" s="94">
        <f>F25</f>
        <v>49074980</v>
      </c>
      <c r="M25" s="94">
        <f>M23</f>
        <v>28</v>
      </c>
      <c r="N25" s="94">
        <v>365</v>
      </c>
      <c r="O25" s="94">
        <f>F25</f>
        <v>49074980</v>
      </c>
      <c r="P25" s="94">
        <f>P23</f>
        <v>28</v>
      </c>
      <c r="Q25" s="94">
        <v>365</v>
      </c>
      <c r="R25" s="94">
        <f>F25</f>
        <v>49074980</v>
      </c>
      <c r="S25" s="94">
        <f t="shared" si="1"/>
        <v>245374900</v>
      </c>
      <c r="T25" s="95"/>
    </row>
    <row r="26" spans="1:20" x14ac:dyDescent="0.25">
      <c r="A26" s="92">
        <v>4</v>
      </c>
      <c r="B26" s="93" t="s">
        <v>206</v>
      </c>
      <c r="C26" s="94">
        <f>105300*12</f>
        <v>1263600</v>
      </c>
      <c r="D26" s="94">
        <f>D22</f>
        <v>28</v>
      </c>
      <c r="E26" s="94"/>
      <c r="F26" s="94">
        <f>D26*$C26</f>
        <v>35380800</v>
      </c>
      <c r="G26" s="94">
        <f>G22</f>
        <v>28</v>
      </c>
      <c r="H26" s="94"/>
      <c r="I26" s="94">
        <f>G26*$C26</f>
        <v>35380800</v>
      </c>
      <c r="J26" s="94">
        <f>J22</f>
        <v>28</v>
      </c>
      <c r="K26" s="94"/>
      <c r="L26" s="94">
        <f>J26*$C26</f>
        <v>35380800</v>
      </c>
      <c r="M26" s="94">
        <f>M22</f>
        <v>28</v>
      </c>
      <c r="N26" s="94"/>
      <c r="O26" s="94">
        <f>M26*$C26</f>
        <v>35380800</v>
      </c>
      <c r="P26" s="94">
        <f>P22</f>
        <v>28</v>
      </c>
      <c r="Q26" s="94"/>
      <c r="R26" s="94">
        <f>P26*$C26</f>
        <v>35380800</v>
      </c>
      <c r="S26" s="94">
        <f t="shared" si="1"/>
        <v>176904000</v>
      </c>
      <c r="T26" s="95"/>
    </row>
    <row r="27" spans="1:20" x14ac:dyDescent="0.25">
      <c r="A27" s="92">
        <v>5</v>
      </c>
      <c r="B27" s="93" t="s">
        <v>207</v>
      </c>
      <c r="C27" s="94">
        <f>2300000*22.5%*12</f>
        <v>6210000</v>
      </c>
      <c r="D27" s="94">
        <f>D23</f>
        <v>28</v>
      </c>
      <c r="E27" s="94"/>
      <c r="F27" s="94">
        <f>D27*$C27</f>
        <v>173880000</v>
      </c>
      <c r="G27" s="94">
        <f>G23</f>
        <v>28</v>
      </c>
      <c r="H27" s="94"/>
      <c r="I27" s="94">
        <f>G27*$C27</f>
        <v>173880000</v>
      </c>
      <c r="J27" s="94">
        <f>J23</f>
        <v>28</v>
      </c>
      <c r="K27" s="94"/>
      <c r="L27" s="94">
        <f>J27*$C27</f>
        <v>173880000</v>
      </c>
      <c r="M27" s="94">
        <f>M23</f>
        <v>28</v>
      </c>
      <c r="N27" s="94"/>
      <c r="O27" s="94">
        <f>M27*$C27</f>
        <v>173880000</v>
      </c>
      <c r="P27" s="94">
        <f>P23</f>
        <v>28</v>
      </c>
      <c r="Q27" s="94"/>
      <c r="R27" s="94">
        <f>P27*$C27</f>
        <v>173880000</v>
      </c>
      <c r="S27" s="94">
        <f t="shared" si="1"/>
        <v>869400000</v>
      </c>
      <c r="T27" s="95"/>
    </row>
    <row r="28" spans="1:20" x14ac:dyDescent="0.25">
      <c r="A28" s="92">
        <v>6</v>
      </c>
      <c r="B28" s="93" t="s">
        <v>260</v>
      </c>
      <c r="C28" s="94">
        <f>4680000*2</f>
        <v>9360000</v>
      </c>
      <c r="D28" s="94">
        <f>ROUND(D22*25%,0)</f>
        <v>7</v>
      </c>
      <c r="E28" s="94"/>
      <c r="F28" s="94">
        <f>D28*$C28*2</f>
        <v>131040000</v>
      </c>
      <c r="G28" s="94">
        <f>D28</f>
        <v>7</v>
      </c>
      <c r="H28" s="94"/>
      <c r="I28" s="94">
        <f>G28*$C28*2</f>
        <v>131040000</v>
      </c>
      <c r="J28" s="94">
        <f>D28</f>
        <v>7</v>
      </c>
      <c r="K28" s="94"/>
      <c r="L28" s="94">
        <f>J28*$C28*2</f>
        <v>131040000</v>
      </c>
      <c r="M28" s="94">
        <f>D28</f>
        <v>7</v>
      </c>
      <c r="N28" s="94"/>
      <c r="O28" s="94">
        <f>M28*$C28*2</f>
        <v>131040000</v>
      </c>
      <c r="P28" s="94">
        <f>D28</f>
        <v>7</v>
      </c>
      <c r="Q28" s="94"/>
      <c r="R28" s="94">
        <f>P28*$C28*2</f>
        <v>131040000</v>
      </c>
      <c r="S28" s="94">
        <f t="shared" si="1"/>
        <v>655200000</v>
      </c>
      <c r="T28" s="95"/>
    </row>
    <row r="29" spans="1:20" s="91" customFormat="1" x14ac:dyDescent="0.25">
      <c r="A29" s="84" t="s">
        <v>48</v>
      </c>
      <c r="B29" s="89" t="s">
        <v>147</v>
      </c>
      <c r="C29" s="90"/>
      <c r="D29" s="90">
        <f>PL2A!E35</f>
        <v>692</v>
      </c>
      <c r="E29" s="90"/>
      <c r="F29" s="90">
        <f>SUBTOTAL(9,F30:F31)</f>
        <v>1935662400</v>
      </c>
      <c r="G29" s="90">
        <f>D29</f>
        <v>692</v>
      </c>
      <c r="H29" s="90"/>
      <c r="I29" s="90">
        <f>SUBTOTAL(9,I30:I31)</f>
        <v>1935662400</v>
      </c>
      <c r="J29" s="90">
        <f>G29</f>
        <v>692</v>
      </c>
      <c r="K29" s="90"/>
      <c r="L29" s="90">
        <f>SUBTOTAL(9,L30:L31)</f>
        <v>1935662400</v>
      </c>
      <c r="M29" s="90">
        <f>G29</f>
        <v>692</v>
      </c>
      <c r="N29" s="90"/>
      <c r="O29" s="90">
        <f>SUBTOTAL(9,O30:O31)</f>
        <v>1935662400</v>
      </c>
      <c r="P29" s="90">
        <f>G29</f>
        <v>692</v>
      </c>
      <c r="Q29" s="90"/>
      <c r="R29" s="90">
        <f>SUBTOTAL(9,R30:R31)</f>
        <v>1935662400</v>
      </c>
      <c r="S29" s="90">
        <f>SUBTOTAL(9,S30:S31)</f>
        <v>9678312000</v>
      </c>
      <c r="T29" s="95" t="s">
        <v>261</v>
      </c>
    </row>
    <row r="30" spans="1:20" x14ac:dyDescent="0.25">
      <c r="A30" s="92">
        <v>1</v>
      </c>
      <c r="B30" s="93" t="s">
        <v>134</v>
      </c>
      <c r="C30" s="94">
        <v>72000</v>
      </c>
      <c r="D30" s="94">
        <f>D29</f>
        <v>692</v>
      </c>
      <c r="E30" s="94">
        <v>7</v>
      </c>
      <c r="F30" s="94">
        <f>D30*E30*$C30</f>
        <v>348768000</v>
      </c>
      <c r="G30" s="94">
        <f>G29</f>
        <v>692</v>
      </c>
      <c r="H30" s="94">
        <v>7</v>
      </c>
      <c r="I30" s="94">
        <f>G30*H30*$C30</f>
        <v>348768000</v>
      </c>
      <c r="J30" s="94">
        <f>J29</f>
        <v>692</v>
      </c>
      <c r="K30" s="94">
        <v>7</v>
      </c>
      <c r="L30" s="94">
        <f>J30*K30*$C30</f>
        <v>348768000</v>
      </c>
      <c r="M30" s="94">
        <f>M29</f>
        <v>692</v>
      </c>
      <c r="N30" s="94">
        <v>7</v>
      </c>
      <c r="O30" s="94">
        <f>M30*N30*$C30</f>
        <v>348768000</v>
      </c>
      <c r="P30" s="94">
        <f>P29</f>
        <v>692</v>
      </c>
      <c r="Q30" s="94">
        <v>7</v>
      </c>
      <c r="R30" s="94">
        <f>P30*Q30*$C30</f>
        <v>348768000</v>
      </c>
      <c r="S30" s="94">
        <f t="shared" ref="S30:S52" si="2">F30+I30+L30+O30+R30</f>
        <v>1743840000</v>
      </c>
      <c r="T30" s="95"/>
    </row>
    <row r="31" spans="1:20" x14ac:dyDescent="0.25">
      <c r="A31" s="92">
        <v>2</v>
      </c>
      <c r="B31" s="93" t="s">
        <v>205</v>
      </c>
      <c r="C31" s="94">
        <v>327600</v>
      </c>
      <c r="D31" s="94">
        <f>D29</f>
        <v>692</v>
      </c>
      <c r="E31" s="94">
        <v>7</v>
      </c>
      <c r="F31" s="94">
        <f>D31*E31*$C31</f>
        <v>1586894400</v>
      </c>
      <c r="G31" s="94">
        <f>G29</f>
        <v>692</v>
      </c>
      <c r="H31" s="94">
        <v>7</v>
      </c>
      <c r="I31" s="94">
        <f>G31*H31*$C31</f>
        <v>1586894400</v>
      </c>
      <c r="J31" s="94">
        <f>J29</f>
        <v>692</v>
      </c>
      <c r="K31" s="94">
        <v>7</v>
      </c>
      <c r="L31" s="94">
        <f>J31*K31*$C31</f>
        <v>1586894400</v>
      </c>
      <c r="M31" s="94">
        <f>M29</f>
        <v>692</v>
      </c>
      <c r="N31" s="94">
        <v>7</v>
      </c>
      <c r="O31" s="94">
        <f>M31*N31*$C31</f>
        <v>1586894400</v>
      </c>
      <c r="P31" s="94">
        <f>P29</f>
        <v>692</v>
      </c>
      <c r="Q31" s="94">
        <v>7</v>
      </c>
      <c r="R31" s="94">
        <f>P31*Q31*$C31</f>
        <v>1586894400</v>
      </c>
      <c r="S31" s="94">
        <f t="shared" si="2"/>
        <v>7934472000</v>
      </c>
      <c r="T31" s="95"/>
    </row>
    <row r="32" spans="1:20" s="91" customFormat="1" x14ac:dyDescent="0.25">
      <c r="A32" s="84" t="s">
        <v>50</v>
      </c>
      <c r="B32" s="89" t="s">
        <v>136</v>
      </c>
      <c r="C32" s="90"/>
      <c r="D32" s="90">
        <f>'PL1'!Y7</f>
        <v>84</v>
      </c>
      <c r="E32" s="90"/>
      <c r="F32" s="90">
        <f>SUBTOTAL(9,F33:F34)</f>
        <v>402796800</v>
      </c>
      <c r="G32" s="90">
        <f>D32</f>
        <v>84</v>
      </c>
      <c r="H32" s="90"/>
      <c r="I32" s="90">
        <f>SUBTOTAL(9,I33:I34)</f>
        <v>402796800</v>
      </c>
      <c r="J32" s="90">
        <f>D32</f>
        <v>84</v>
      </c>
      <c r="K32" s="90"/>
      <c r="L32" s="90">
        <f>SUBTOTAL(9,L33:L34)</f>
        <v>402796800</v>
      </c>
      <c r="M32" s="90">
        <f>D32</f>
        <v>84</v>
      </c>
      <c r="N32" s="90"/>
      <c r="O32" s="90">
        <f>SUBTOTAL(9,O33:O34)</f>
        <v>402796800</v>
      </c>
      <c r="P32" s="90">
        <f>D32</f>
        <v>84</v>
      </c>
      <c r="Q32" s="90"/>
      <c r="R32" s="90">
        <f>SUBTOTAL(9,R33:R34)</f>
        <v>402796800</v>
      </c>
      <c r="S32" s="90">
        <f>SUBTOTAL(9,S33:S34)</f>
        <v>2013984000</v>
      </c>
      <c r="T32" s="95" t="s">
        <v>149</v>
      </c>
    </row>
    <row r="33" spans="1:20" x14ac:dyDescent="0.25">
      <c r="A33" s="92">
        <v>1</v>
      </c>
      <c r="B33" s="93" t="s">
        <v>134</v>
      </c>
      <c r="C33" s="94">
        <v>72000</v>
      </c>
      <c r="D33" s="94">
        <f>D32</f>
        <v>84</v>
      </c>
      <c r="E33" s="94">
        <v>12</v>
      </c>
      <c r="F33" s="94">
        <f>D33*E33*$C33</f>
        <v>72576000</v>
      </c>
      <c r="G33" s="94">
        <f>G32</f>
        <v>84</v>
      </c>
      <c r="H33" s="94">
        <v>12</v>
      </c>
      <c r="I33" s="94">
        <f>G33*H33*$C33</f>
        <v>72576000</v>
      </c>
      <c r="J33" s="94">
        <f>J32</f>
        <v>84</v>
      </c>
      <c r="K33" s="94">
        <v>12</v>
      </c>
      <c r="L33" s="94">
        <f>J33*K33*$C33</f>
        <v>72576000</v>
      </c>
      <c r="M33" s="94">
        <f>M32</f>
        <v>84</v>
      </c>
      <c r="N33" s="94">
        <v>12</v>
      </c>
      <c r="O33" s="94">
        <f>M33*N33*$C33</f>
        <v>72576000</v>
      </c>
      <c r="P33" s="94">
        <f>P32</f>
        <v>84</v>
      </c>
      <c r="Q33" s="94">
        <v>12</v>
      </c>
      <c r="R33" s="94">
        <f>P33*Q33*$C33</f>
        <v>72576000</v>
      </c>
      <c r="S33" s="94">
        <f t="shared" si="2"/>
        <v>362880000</v>
      </c>
      <c r="T33" s="95"/>
    </row>
    <row r="34" spans="1:20" x14ac:dyDescent="0.25">
      <c r="A34" s="92">
        <v>2</v>
      </c>
      <c r="B34" s="93" t="s">
        <v>205</v>
      </c>
      <c r="C34" s="94">
        <v>327600</v>
      </c>
      <c r="D34" s="94">
        <f>D32</f>
        <v>84</v>
      </c>
      <c r="E34" s="94">
        <v>12</v>
      </c>
      <c r="F34" s="94">
        <f>D34*E34*$C34</f>
        <v>330220800</v>
      </c>
      <c r="G34" s="94">
        <f>G32</f>
        <v>84</v>
      </c>
      <c r="H34" s="94">
        <v>12</v>
      </c>
      <c r="I34" s="94">
        <f>G34*H34*$C34</f>
        <v>330220800</v>
      </c>
      <c r="J34" s="94">
        <f>J32</f>
        <v>84</v>
      </c>
      <c r="K34" s="94">
        <v>12</v>
      </c>
      <c r="L34" s="94">
        <f>J34*K34*$C34</f>
        <v>330220800</v>
      </c>
      <c r="M34" s="94">
        <f>M32</f>
        <v>84</v>
      </c>
      <c r="N34" s="94">
        <v>12</v>
      </c>
      <c r="O34" s="94">
        <f>M34*N34*$C34</f>
        <v>330220800</v>
      </c>
      <c r="P34" s="94">
        <f>P32</f>
        <v>84</v>
      </c>
      <c r="Q34" s="94">
        <v>12</v>
      </c>
      <c r="R34" s="94">
        <f>P34*Q34*$C34</f>
        <v>330220800</v>
      </c>
      <c r="S34" s="94">
        <f t="shared" si="2"/>
        <v>1651104000</v>
      </c>
      <c r="T34" s="95"/>
    </row>
    <row r="35" spans="1:20" s="91" customFormat="1" x14ac:dyDescent="0.25">
      <c r="A35" s="84" t="s">
        <v>54</v>
      </c>
      <c r="B35" s="89" t="s">
        <v>137</v>
      </c>
      <c r="C35" s="90"/>
      <c r="D35" s="90">
        <f>'PL1'!AB7</f>
        <v>36</v>
      </c>
      <c r="E35" s="90"/>
      <c r="F35" s="90">
        <f>SUBTOTAL(9,F36:F37)</f>
        <v>168307200</v>
      </c>
      <c r="G35" s="90">
        <f>D35</f>
        <v>36</v>
      </c>
      <c r="H35" s="90"/>
      <c r="I35" s="90">
        <f>SUBTOTAL(9,I36:I37)</f>
        <v>168307200</v>
      </c>
      <c r="J35" s="90">
        <f>D35</f>
        <v>36</v>
      </c>
      <c r="K35" s="90"/>
      <c r="L35" s="90">
        <f>SUBTOTAL(9,L36:L37)</f>
        <v>168307200</v>
      </c>
      <c r="M35" s="90">
        <f>D35</f>
        <v>36</v>
      </c>
      <c r="N35" s="90"/>
      <c r="O35" s="90">
        <f>SUBTOTAL(9,O36:O37)</f>
        <v>168307200</v>
      </c>
      <c r="P35" s="90">
        <f>D35</f>
        <v>36</v>
      </c>
      <c r="Q35" s="90"/>
      <c r="R35" s="90">
        <f>SUBTOTAL(9,R36:R37)</f>
        <v>168307200</v>
      </c>
      <c r="S35" s="90">
        <f>SUBTOTAL(9,S36:S37)</f>
        <v>841536000</v>
      </c>
      <c r="T35" s="95" t="s">
        <v>149</v>
      </c>
    </row>
    <row r="36" spans="1:20" x14ac:dyDescent="0.25">
      <c r="A36" s="92">
        <v>1</v>
      </c>
      <c r="B36" s="93" t="s">
        <v>134</v>
      </c>
      <c r="C36" s="94">
        <v>62000</v>
      </c>
      <c r="D36" s="94">
        <f>D35</f>
        <v>36</v>
      </c>
      <c r="E36" s="94">
        <v>12</v>
      </c>
      <c r="F36" s="94">
        <f>D36*E36*$C36</f>
        <v>26784000</v>
      </c>
      <c r="G36" s="94">
        <f>G35</f>
        <v>36</v>
      </c>
      <c r="H36" s="94">
        <v>12</v>
      </c>
      <c r="I36" s="94">
        <f>G36*H36*$C36</f>
        <v>26784000</v>
      </c>
      <c r="J36" s="94">
        <f>J35</f>
        <v>36</v>
      </c>
      <c r="K36" s="94">
        <v>12</v>
      </c>
      <c r="L36" s="94">
        <f>J36*K36*$C36</f>
        <v>26784000</v>
      </c>
      <c r="M36" s="94">
        <f>M35</f>
        <v>36</v>
      </c>
      <c r="N36" s="94">
        <v>12</v>
      </c>
      <c r="O36" s="94">
        <f>M36*N36*$C36</f>
        <v>26784000</v>
      </c>
      <c r="P36" s="94">
        <f>P35</f>
        <v>36</v>
      </c>
      <c r="Q36" s="94">
        <v>12</v>
      </c>
      <c r="R36" s="94">
        <f>P36*Q36*$C36</f>
        <v>26784000</v>
      </c>
      <c r="S36" s="94">
        <f t="shared" si="2"/>
        <v>133920000</v>
      </c>
      <c r="T36" s="95"/>
    </row>
    <row r="37" spans="1:20" x14ac:dyDescent="0.25">
      <c r="A37" s="92">
        <v>2</v>
      </c>
      <c r="B37" s="93" t="s">
        <v>205</v>
      </c>
      <c r="C37" s="94">
        <v>327600</v>
      </c>
      <c r="D37" s="94">
        <f>D35</f>
        <v>36</v>
      </c>
      <c r="E37" s="94">
        <v>12</v>
      </c>
      <c r="F37" s="94">
        <f>D37*E37*$C37</f>
        <v>141523200</v>
      </c>
      <c r="G37" s="94">
        <f>G35</f>
        <v>36</v>
      </c>
      <c r="H37" s="94">
        <v>12</v>
      </c>
      <c r="I37" s="94">
        <f>G37*H37*$C37</f>
        <v>141523200</v>
      </c>
      <c r="J37" s="94">
        <f>J35</f>
        <v>36</v>
      </c>
      <c r="K37" s="94">
        <v>12</v>
      </c>
      <c r="L37" s="94">
        <f>J37*K37*$C37</f>
        <v>141523200</v>
      </c>
      <c r="M37" s="94">
        <f>M35</f>
        <v>36</v>
      </c>
      <c r="N37" s="94">
        <v>12</v>
      </c>
      <c r="O37" s="94">
        <f>M37*N37*$C37</f>
        <v>141523200</v>
      </c>
      <c r="P37" s="94">
        <f>P35</f>
        <v>36</v>
      </c>
      <c r="Q37" s="94">
        <v>12</v>
      </c>
      <c r="R37" s="94">
        <f>P37*Q37*$C37</f>
        <v>141523200</v>
      </c>
      <c r="S37" s="94">
        <f t="shared" si="2"/>
        <v>707616000</v>
      </c>
      <c r="T37" s="95"/>
    </row>
    <row r="38" spans="1:20" s="91" customFormat="1" x14ac:dyDescent="0.25">
      <c r="A38" s="84" t="s">
        <v>55</v>
      </c>
      <c r="B38" s="89" t="s">
        <v>138</v>
      </c>
      <c r="C38" s="90"/>
      <c r="D38" s="90">
        <v>12</v>
      </c>
      <c r="E38" s="90"/>
      <c r="F38" s="90">
        <f>SUBTOTAL(9,F39:F40)</f>
        <v>57542400</v>
      </c>
      <c r="G38" s="90">
        <f>D38</f>
        <v>12</v>
      </c>
      <c r="H38" s="90"/>
      <c r="I38" s="90">
        <f>SUBTOTAL(9,I39:I40)</f>
        <v>57542400</v>
      </c>
      <c r="J38" s="90">
        <f>G38</f>
        <v>12</v>
      </c>
      <c r="K38" s="90"/>
      <c r="L38" s="90">
        <f>SUBTOTAL(9,L39:L40)</f>
        <v>57542400</v>
      </c>
      <c r="M38" s="90">
        <f>G38</f>
        <v>12</v>
      </c>
      <c r="N38" s="90"/>
      <c r="O38" s="90">
        <f>SUBTOTAL(9,O39:O40)</f>
        <v>57542400</v>
      </c>
      <c r="P38" s="90">
        <f>G38</f>
        <v>12</v>
      </c>
      <c r="Q38" s="90"/>
      <c r="R38" s="90">
        <f>SUBTOTAL(9,R39:R40)</f>
        <v>57542400</v>
      </c>
      <c r="S38" s="90">
        <f>SUBTOTAL(9,S39:S40)</f>
        <v>287712000</v>
      </c>
      <c r="T38" s="95" t="s">
        <v>149</v>
      </c>
    </row>
    <row r="39" spans="1:20" x14ac:dyDescent="0.25">
      <c r="A39" s="92">
        <v>1</v>
      </c>
      <c r="B39" s="93" t="s">
        <v>134</v>
      </c>
      <c r="C39" s="94">
        <v>72000</v>
      </c>
      <c r="D39" s="94">
        <f>D38</f>
        <v>12</v>
      </c>
      <c r="E39" s="94">
        <v>12</v>
      </c>
      <c r="F39" s="94">
        <f>D39*E39*$C39</f>
        <v>10368000</v>
      </c>
      <c r="G39" s="94">
        <f>G38</f>
        <v>12</v>
      </c>
      <c r="H39" s="94">
        <v>12</v>
      </c>
      <c r="I39" s="94">
        <f>G39*H39*$C39</f>
        <v>10368000</v>
      </c>
      <c r="J39" s="94">
        <f>J38</f>
        <v>12</v>
      </c>
      <c r="K39" s="94">
        <v>12</v>
      </c>
      <c r="L39" s="94">
        <f>J39*K39*$C39</f>
        <v>10368000</v>
      </c>
      <c r="M39" s="94">
        <f>M38</f>
        <v>12</v>
      </c>
      <c r="N39" s="94">
        <v>12</v>
      </c>
      <c r="O39" s="94">
        <f>M39*N39*$C39</f>
        <v>10368000</v>
      </c>
      <c r="P39" s="94">
        <f>P38</f>
        <v>12</v>
      </c>
      <c r="Q39" s="94">
        <v>12</v>
      </c>
      <c r="R39" s="94">
        <f>P39*Q39*$C39</f>
        <v>10368000</v>
      </c>
      <c r="S39" s="94">
        <f t="shared" si="2"/>
        <v>51840000</v>
      </c>
      <c r="T39" s="95"/>
    </row>
    <row r="40" spans="1:20" x14ac:dyDescent="0.25">
      <c r="A40" s="92">
        <v>2</v>
      </c>
      <c r="B40" s="93" t="s">
        <v>205</v>
      </c>
      <c r="C40" s="94">
        <v>327600</v>
      </c>
      <c r="D40" s="94">
        <f>D38</f>
        <v>12</v>
      </c>
      <c r="E40" s="94">
        <v>12</v>
      </c>
      <c r="F40" s="94">
        <f>D40*E40*$C40</f>
        <v>47174400</v>
      </c>
      <c r="G40" s="94">
        <f>G38</f>
        <v>12</v>
      </c>
      <c r="H40" s="94">
        <v>12</v>
      </c>
      <c r="I40" s="94">
        <f>G40*H40*$C40</f>
        <v>47174400</v>
      </c>
      <c r="J40" s="94">
        <f>J38</f>
        <v>12</v>
      </c>
      <c r="K40" s="94">
        <v>12</v>
      </c>
      <c r="L40" s="94">
        <f>J40*K40*$C40</f>
        <v>47174400</v>
      </c>
      <c r="M40" s="94">
        <f>M38</f>
        <v>12</v>
      </c>
      <c r="N40" s="94">
        <v>12</v>
      </c>
      <c r="O40" s="94">
        <f>M40*N40*$C40</f>
        <v>47174400</v>
      </c>
      <c r="P40" s="94">
        <f>P38</f>
        <v>12</v>
      </c>
      <c r="Q40" s="94">
        <v>12</v>
      </c>
      <c r="R40" s="94">
        <f>P40*Q40*$C40</f>
        <v>47174400</v>
      </c>
      <c r="S40" s="94">
        <f t="shared" si="2"/>
        <v>235872000</v>
      </c>
      <c r="T40" s="95"/>
    </row>
    <row r="41" spans="1:20" s="91" customFormat="1" x14ac:dyDescent="0.25">
      <c r="A41" s="84" t="s">
        <v>57</v>
      </c>
      <c r="B41" s="89" t="s">
        <v>139</v>
      </c>
      <c r="C41" s="90"/>
      <c r="D41" s="90">
        <v>18</v>
      </c>
      <c r="E41" s="90"/>
      <c r="F41" s="90">
        <f>SUBTOTAL(9,F42:F43)</f>
        <v>86313600</v>
      </c>
      <c r="G41" s="90">
        <f>D41</f>
        <v>18</v>
      </c>
      <c r="H41" s="90"/>
      <c r="I41" s="90">
        <f>SUBTOTAL(9,I42:I43)</f>
        <v>86313600</v>
      </c>
      <c r="J41" s="90">
        <f>G41</f>
        <v>18</v>
      </c>
      <c r="K41" s="90"/>
      <c r="L41" s="90">
        <f>SUBTOTAL(9,L42:L43)</f>
        <v>86313600</v>
      </c>
      <c r="M41" s="90">
        <f>G41</f>
        <v>18</v>
      </c>
      <c r="N41" s="90"/>
      <c r="O41" s="90">
        <f>SUBTOTAL(9,O42:O43)</f>
        <v>86313600</v>
      </c>
      <c r="P41" s="90">
        <f>G41</f>
        <v>18</v>
      </c>
      <c r="Q41" s="90"/>
      <c r="R41" s="90">
        <f>SUBTOTAL(9,R42:R43)</f>
        <v>86313600</v>
      </c>
      <c r="S41" s="90">
        <f>SUBTOTAL(9,S42:S43)</f>
        <v>431568000</v>
      </c>
      <c r="T41" s="95" t="s">
        <v>149</v>
      </c>
    </row>
    <row r="42" spans="1:20" x14ac:dyDescent="0.25">
      <c r="A42" s="92">
        <v>1</v>
      </c>
      <c r="B42" s="93" t="s">
        <v>134</v>
      </c>
      <c r="C42" s="94">
        <v>72000</v>
      </c>
      <c r="D42" s="94">
        <f>D41</f>
        <v>18</v>
      </c>
      <c r="E42" s="94">
        <v>12</v>
      </c>
      <c r="F42" s="94">
        <f>D42*E42*$C42</f>
        <v>15552000</v>
      </c>
      <c r="G42" s="94">
        <f>G41</f>
        <v>18</v>
      </c>
      <c r="H42" s="94">
        <v>12</v>
      </c>
      <c r="I42" s="94">
        <f>G42*H42*$C42</f>
        <v>15552000</v>
      </c>
      <c r="J42" s="94">
        <f>J41</f>
        <v>18</v>
      </c>
      <c r="K42" s="94">
        <v>12</v>
      </c>
      <c r="L42" s="94">
        <f>J42*K42*$C42</f>
        <v>15552000</v>
      </c>
      <c r="M42" s="94">
        <f>M41</f>
        <v>18</v>
      </c>
      <c r="N42" s="94">
        <v>12</v>
      </c>
      <c r="O42" s="94">
        <f>M42*N42*$C42</f>
        <v>15552000</v>
      </c>
      <c r="P42" s="94">
        <f>P41</f>
        <v>18</v>
      </c>
      <c r="Q42" s="94">
        <v>12</v>
      </c>
      <c r="R42" s="94">
        <f>P42*Q42*$C42</f>
        <v>15552000</v>
      </c>
      <c r="S42" s="94">
        <f t="shared" si="2"/>
        <v>77760000</v>
      </c>
      <c r="T42" s="95"/>
    </row>
    <row r="43" spans="1:20" x14ac:dyDescent="0.25">
      <c r="A43" s="92">
        <v>2</v>
      </c>
      <c r="B43" s="93" t="s">
        <v>205</v>
      </c>
      <c r="C43" s="94">
        <v>327600</v>
      </c>
      <c r="D43" s="94">
        <f>D41</f>
        <v>18</v>
      </c>
      <c r="E43" s="94">
        <v>12</v>
      </c>
      <c r="F43" s="94">
        <f>D43*E43*$C43</f>
        <v>70761600</v>
      </c>
      <c r="G43" s="94">
        <f>G41</f>
        <v>18</v>
      </c>
      <c r="H43" s="94">
        <v>12</v>
      </c>
      <c r="I43" s="94">
        <f>G43*H43*$C43</f>
        <v>70761600</v>
      </c>
      <c r="J43" s="94">
        <f>J41</f>
        <v>18</v>
      </c>
      <c r="K43" s="94">
        <v>12</v>
      </c>
      <c r="L43" s="94">
        <f>J43*K43*$C43</f>
        <v>70761600</v>
      </c>
      <c r="M43" s="94">
        <f>M41</f>
        <v>18</v>
      </c>
      <c r="N43" s="94">
        <v>12</v>
      </c>
      <c r="O43" s="94">
        <f>M43*N43*$C43</f>
        <v>70761600</v>
      </c>
      <c r="P43" s="94">
        <f>P41</f>
        <v>18</v>
      </c>
      <c r="Q43" s="94">
        <v>12</v>
      </c>
      <c r="R43" s="94">
        <f>P43*Q43*$C43</f>
        <v>70761600</v>
      </c>
      <c r="S43" s="94">
        <f t="shared" si="2"/>
        <v>353808000</v>
      </c>
      <c r="T43" s="95"/>
    </row>
    <row r="44" spans="1:20" s="91" customFormat="1" x14ac:dyDescent="0.25">
      <c r="A44" s="84" t="s">
        <v>58</v>
      </c>
      <c r="B44" s="89" t="s">
        <v>141</v>
      </c>
      <c r="C44" s="90"/>
      <c r="D44" s="90">
        <v>18</v>
      </c>
      <c r="E44" s="90"/>
      <c r="F44" s="90">
        <f>SUBTOTAL(9,F45:F46)</f>
        <v>86313600</v>
      </c>
      <c r="G44" s="90">
        <f>D44</f>
        <v>18</v>
      </c>
      <c r="H44" s="90"/>
      <c r="I44" s="90">
        <f>SUBTOTAL(9,I45:I46)</f>
        <v>86313600</v>
      </c>
      <c r="J44" s="90">
        <f>G44</f>
        <v>18</v>
      </c>
      <c r="K44" s="90"/>
      <c r="L44" s="90">
        <f>SUBTOTAL(9,L45:L46)</f>
        <v>86313600</v>
      </c>
      <c r="M44" s="90">
        <f>G44</f>
        <v>18</v>
      </c>
      <c r="N44" s="90"/>
      <c r="O44" s="90">
        <f>SUBTOTAL(9,O45:O46)</f>
        <v>86313600</v>
      </c>
      <c r="P44" s="90">
        <f>G44</f>
        <v>18</v>
      </c>
      <c r="Q44" s="90"/>
      <c r="R44" s="90">
        <f>SUBTOTAL(9,R45:R46)</f>
        <v>86313600</v>
      </c>
      <c r="S44" s="90">
        <f>SUBTOTAL(9,S45:S46)</f>
        <v>431568000</v>
      </c>
      <c r="T44" s="95" t="s">
        <v>149</v>
      </c>
    </row>
    <row r="45" spans="1:20" x14ac:dyDescent="0.25">
      <c r="A45" s="92">
        <v>1</v>
      </c>
      <c r="B45" s="93" t="s">
        <v>134</v>
      </c>
      <c r="C45" s="94">
        <v>72000</v>
      </c>
      <c r="D45" s="94">
        <f>D44</f>
        <v>18</v>
      </c>
      <c r="E45" s="94">
        <v>12</v>
      </c>
      <c r="F45" s="94">
        <f>D45*E45*$C45</f>
        <v>15552000</v>
      </c>
      <c r="G45" s="94">
        <f>G44</f>
        <v>18</v>
      </c>
      <c r="H45" s="94">
        <v>12</v>
      </c>
      <c r="I45" s="94">
        <f>G45*H45*$C45</f>
        <v>15552000</v>
      </c>
      <c r="J45" s="94">
        <f>J44</f>
        <v>18</v>
      </c>
      <c r="K45" s="94">
        <v>12</v>
      </c>
      <c r="L45" s="94">
        <f>J45*K45*$C45</f>
        <v>15552000</v>
      </c>
      <c r="M45" s="94">
        <f>M44</f>
        <v>18</v>
      </c>
      <c r="N45" s="94">
        <v>12</v>
      </c>
      <c r="O45" s="94">
        <f>M45*N45*$C45</f>
        <v>15552000</v>
      </c>
      <c r="P45" s="94">
        <f>P44</f>
        <v>18</v>
      </c>
      <c r="Q45" s="94">
        <v>12</v>
      </c>
      <c r="R45" s="94">
        <f>P45*Q45*$C45</f>
        <v>15552000</v>
      </c>
      <c r="S45" s="94">
        <f t="shared" si="2"/>
        <v>77760000</v>
      </c>
      <c r="T45" s="95"/>
    </row>
    <row r="46" spans="1:20" x14ac:dyDescent="0.25">
      <c r="A46" s="92">
        <v>2</v>
      </c>
      <c r="B46" s="93" t="s">
        <v>205</v>
      </c>
      <c r="C46" s="94">
        <v>327600</v>
      </c>
      <c r="D46" s="94">
        <f>D44</f>
        <v>18</v>
      </c>
      <c r="E46" s="94">
        <v>12</v>
      </c>
      <c r="F46" s="94">
        <f>D46*E46*$C46</f>
        <v>70761600</v>
      </c>
      <c r="G46" s="94">
        <f>G44</f>
        <v>18</v>
      </c>
      <c r="H46" s="94">
        <v>12</v>
      </c>
      <c r="I46" s="94">
        <f>G46*H46*$C46</f>
        <v>70761600</v>
      </c>
      <c r="J46" s="94">
        <f>J44</f>
        <v>18</v>
      </c>
      <c r="K46" s="94">
        <v>12</v>
      </c>
      <c r="L46" s="94">
        <f>J46*K46*$C46</f>
        <v>70761600</v>
      </c>
      <c r="M46" s="94">
        <f>M44</f>
        <v>18</v>
      </c>
      <c r="N46" s="94">
        <v>12</v>
      </c>
      <c r="O46" s="94">
        <f>M46*N46*$C46</f>
        <v>70761600</v>
      </c>
      <c r="P46" s="94">
        <f>P44</f>
        <v>18</v>
      </c>
      <c r="Q46" s="94">
        <v>12</v>
      </c>
      <c r="R46" s="94">
        <f>P46*Q46*$C46</f>
        <v>70761600</v>
      </c>
      <c r="S46" s="94">
        <f t="shared" si="2"/>
        <v>353808000</v>
      </c>
      <c r="T46" s="95"/>
    </row>
    <row r="47" spans="1:20" s="91" customFormat="1" x14ac:dyDescent="0.25">
      <c r="A47" s="84" t="s">
        <v>59</v>
      </c>
      <c r="B47" s="89" t="s">
        <v>143</v>
      </c>
      <c r="C47" s="90"/>
      <c r="D47" s="90">
        <v>12</v>
      </c>
      <c r="E47" s="90"/>
      <c r="F47" s="90">
        <f>SUBTOTAL(9,F48:F49)</f>
        <v>57542400</v>
      </c>
      <c r="G47" s="90">
        <f>D47</f>
        <v>12</v>
      </c>
      <c r="H47" s="90"/>
      <c r="I47" s="90">
        <f>SUBTOTAL(9,I48:I49)</f>
        <v>57542400</v>
      </c>
      <c r="J47" s="90">
        <f>G47</f>
        <v>12</v>
      </c>
      <c r="K47" s="90"/>
      <c r="L47" s="90">
        <f>SUBTOTAL(9,L48:L49)</f>
        <v>57542400</v>
      </c>
      <c r="M47" s="90">
        <f>G47</f>
        <v>12</v>
      </c>
      <c r="N47" s="90"/>
      <c r="O47" s="90">
        <f>SUBTOTAL(9,O48:O49)</f>
        <v>57542400</v>
      </c>
      <c r="P47" s="90">
        <f>G47</f>
        <v>12</v>
      </c>
      <c r="Q47" s="90"/>
      <c r="R47" s="90">
        <f>SUBTOTAL(9,R48:R49)</f>
        <v>57542400</v>
      </c>
      <c r="S47" s="90">
        <f>SUBTOTAL(9,S48:S49)</f>
        <v>287712000</v>
      </c>
      <c r="T47" s="95" t="s">
        <v>149</v>
      </c>
    </row>
    <row r="48" spans="1:20" x14ac:dyDescent="0.25">
      <c r="A48" s="92">
        <v>1</v>
      </c>
      <c r="B48" s="93" t="s">
        <v>134</v>
      </c>
      <c r="C48" s="94">
        <v>72000</v>
      </c>
      <c r="D48" s="94">
        <f>D47</f>
        <v>12</v>
      </c>
      <c r="E48" s="94">
        <v>12</v>
      </c>
      <c r="F48" s="94">
        <f>D48*E48*$C48</f>
        <v>10368000</v>
      </c>
      <c r="G48" s="94">
        <f>G47</f>
        <v>12</v>
      </c>
      <c r="H48" s="94">
        <v>12</v>
      </c>
      <c r="I48" s="94">
        <f>G48*H48*$C48</f>
        <v>10368000</v>
      </c>
      <c r="J48" s="94">
        <f>J47</f>
        <v>12</v>
      </c>
      <c r="K48" s="94">
        <v>12</v>
      </c>
      <c r="L48" s="94">
        <f>J48*K48*$C48</f>
        <v>10368000</v>
      </c>
      <c r="M48" s="94">
        <f>M47</f>
        <v>12</v>
      </c>
      <c r="N48" s="94">
        <v>12</v>
      </c>
      <c r="O48" s="94">
        <f>M48*N48*$C48</f>
        <v>10368000</v>
      </c>
      <c r="P48" s="94">
        <f>P47</f>
        <v>12</v>
      </c>
      <c r="Q48" s="94">
        <v>12</v>
      </c>
      <c r="R48" s="94">
        <f>P48*Q48*$C48</f>
        <v>10368000</v>
      </c>
      <c r="S48" s="94">
        <f t="shared" si="2"/>
        <v>51840000</v>
      </c>
      <c r="T48" s="95"/>
    </row>
    <row r="49" spans="1:20" x14ac:dyDescent="0.25">
      <c r="A49" s="92">
        <v>2</v>
      </c>
      <c r="B49" s="93" t="s">
        <v>205</v>
      </c>
      <c r="C49" s="94">
        <v>327600</v>
      </c>
      <c r="D49" s="94">
        <f>D47</f>
        <v>12</v>
      </c>
      <c r="E49" s="94">
        <v>12</v>
      </c>
      <c r="F49" s="94">
        <f>D49*E49*$C49</f>
        <v>47174400</v>
      </c>
      <c r="G49" s="94">
        <f>G47</f>
        <v>12</v>
      </c>
      <c r="H49" s="94">
        <v>12</v>
      </c>
      <c r="I49" s="94">
        <f>G49*H49*$C49</f>
        <v>47174400</v>
      </c>
      <c r="J49" s="94">
        <f>J47</f>
        <v>12</v>
      </c>
      <c r="K49" s="94">
        <v>12</v>
      </c>
      <c r="L49" s="94">
        <f>J49*K49*$C49</f>
        <v>47174400</v>
      </c>
      <c r="M49" s="94">
        <f>M47</f>
        <v>12</v>
      </c>
      <c r="N49" s="94">
        <v>12</v>
      </c>
      <c r="O49" s="94">
        <f>M49*N49*$C49</f>
        <v>47174400</v>
      </c>
      <c r="P49" s="94">
        <f>P47</f>
        <v>12</v>
      </c>
      <c r="Q49" s="94">
        <v>12</v>
      </c>
      <c r="R49" s="94">
        <f>P49*Q49*$C49</f>
        <v>47174400</v>
      </c>
      <c r="S49" s="94">
        <f t="shared" si="2"/>
        <v>235872000</v>
      </c>
      <c r="T49" s="95"/>
    </row>
    <row r="50" spans="1:20" s="91" customFormat="1" x14ac:dyDescent="0.25">
      <c r="A50" s="84" t="s">
        <v>140</v>
      </c>
      <c r="B50" s="89" t="s">
        <v>144</v>
      </c>
      <c r="C50" s="90"/>
      <c r="D50" s="90">
        <v>18</v>
      </c>
      <c r="E50" s="90"/>
      <c r="F50" s="90">
        <f>SUBTOTAL(9,F51:F52)</f>
        <v>86313600</v>
      </c>
      <c r="G50" s="90">
        <f>D50</f>
        <v>18</v>
      </c>
      <c r="H50" s="90"/>
      <c r="I50" s="90">
        <f>SUBTOTAL(9,I51:I52)</f>
        <v>86313600</v>
      </c>
      <c r="J50" s="90">
        <f>G50</f>
        <v>18</v>
      </c>
      <c r="K50" s="90"/>
      <c r="L50" s="90">
        <f>SUBTOTAL(9,L51:L52)</f>
        <v>86313600</v>
      </c>
      <c r="M50" s="90">
        <f>G50</f>
        <v>18</v>
      </c>
      <c r="N50" s="90"/>
      <c r="O50" s="90">
        <f>SUBTOTAL(9,O51:O52)</f>
        <v>86313600</v>
      </c>
      <c r="P50" s="90">
        <f>G50</f>
        <v>18</v>
      </c>
      <c r="Q50" s="90"/>
      <c r="R50" s="90">
        <f>SUBTOTAL(9,R51:R52)</f>
        <v>86313600</v>
      </c>
      <c r="S50" s="90">
        <f>SUBTOTAL(9,S51:S52)</f>
        <v>431568000</v>
      </c>
      <c r="T50" s="95" t="s">
        <v>149</v>
      </c>
    </row>
    <row r="51" spans="1:20" x14ac:dyDescent="0.25">
      <c r="A51" s="92">
        <v>1</v>
      </c>
      <c r="B51" s="93" t="s">
        <v>134</v>
      </c>
      <c r="C51" s="94">
        <v>72000</v>
      </c>
      <c r="D51" s="94">
        <f>D50</f>
        <v>18</v>
      </c>
      <c r="E51" s="94">
        <v>12</v>
      </c>
      <c r="F51" s="94">
        <f>D51*E51*$C51</f>
        <v>15552000</v>
      </c>
      <c r="G51" s="94">
        <f>G50</f>
        <v>18</v>
      </c>
      <c r="H51" s="94">
        <v>12</v>
      </c>
      <c r="I51" s="94">
        <f>G51*H51*$C51</f>
        <v>15552000</v>
      </c>
      <c r="J51" s="94">
        <f>J50</f>
        <v>18</v>
      </c>
      <c r="K51" s="94">
        <v>12</v>
      </c>
      <c r="L51" s="94">
        <f>J51*K51*$C51</f>
        <v>15552000</v>
      </c>
      <c r="M51" s="94">
        <f>M50</f>
        <v>18</v>
      </c>
      <c r="N51" s="94">
        <v>12</v>
      </c>
      <c r="O51" s="94">
        <f>M51*N51*$C51</f>
        <v>15552000</v>
      </c>
      <c r="P51" s="94">
        <f>P50</f>
        <v>18</v>
      </c>
      <c r="Q51" s="94">
        <v>12</v>
      </c>
      <c r="R51" s="94">
        <f>P51*Q51*$C51</f>
        <v>15552000</v>
      </c>
      <c r="S51" s="94">
        <f t="shared" si="2"/>
        <v>77760000</v>
      </c>
      <c r="T51" s="95"/>
    </row>
    <row r="52" spans="1:20" x14ac:dyDescent="0.25">
      <c r="A52" s="92">
        <v>2</v>
      </c>
      <c r="B52" s="93" t="s">
        <v>205</v>
      </c>
      <c r="C52" s="94">
        <v>327600</v>
      </c>
      <c r="D52" s="94">
        <f>D50</f>
        <v>18</v>
      </c>
      <c r="E52" s="94">
        <v>12</v>
      </c>
      <c r="F52" s="94">
        <f>D52*E52*$C52</f>
        <v>70761600</v>
      </c>
      <c r="G52" s="94">
        <f>G50</f>
        <v>18</v>
      </c>
      <c r="H52" s="94">
        <v>12</v>
      </c>
      <c r="I52" s="94">
        <f>G52*H52*$C52</f>
        <v>70761600</v>
      </c>
      <c r="J52" s="94">
        <f>J50</f>
        <v>18</v>
      </c>
      <c r="K52" s="94">
        <v>12</v>
      </c>
      <c r="L52" s="94">
        <f>J52*K52*$C52</f>
        <v>70761600</v>
      </c>
      <c r="M52" s="94">
        <f>M50</f>
        <v>18</v>
      </c>
      <c r="N52" s="94">
        <v>12</v>
      </c>
      <c r="O52" s="94">
        <f>M52*N52*$C52</f>
        <v>70761600</v>
      </c>
      <c r="P52" s="94">
        <f>P50</f>
        <v>18</v>
      </c>
      <c r="Q52" s="94">
        <v>12</v>
      </c>
      <c r="R52" s="94">
        <f>P52*Q52*$C52</f>
        <v>70761600</v>
      </c>
      <c r="S52" s="94">
        <f t="shared" si="2"/>
        <v>353808000</v>
      </c>
      <c r="T52" s="95"/>
    </row>
    <row r="53" spans="1:20" s="91" customFormat="1" x14ac:dyDescent="0.25">
      <c r="A53" s="84" t="s">
        <v>142</v>
      </c>
      <c r="B53" s="89" t="s">
        <v>145</v>
      </c>
      <c r="C53" s="90"/>
      <c r="D53" s="90">
        <f>'PL1'!V12</f>
        <v>0</v>
      </c>
      <c r="E53" s="90"/>
      <c r="F53" s="90">
        <f>SUBTOTAL(9,F54:F55)</f>
        <v>0</v>
      </c>
      <c r="G53" s="90">
        <f>D53</f>
        <v>0</v>
      </c>
      <c r="H53" s="90"/>
      <c r="I53" s="90">
        <f>SUBTOTAL(9,I54:I55)</f>
        <v>0</v>
      </c>
      <c r="J53" s="90">
        <f>D53</f>
        <v>0</v>
      </c>
      <c r="K53" s="90"/>
      <c r="L53" s="90">
        <f>SUBTOTAL(9,L54:L55)</f>
        <v>0</v>
      </c>
      <c r="M53" s="90">
        <f>D53</f>
        <v>0</v>
      </c>
      <c r="N53" s="90"/>
      <c r="O53" s="90">
        <f>SUBTOTAL(9,O54:O55)</f>
        <v>0</v>
      </c>
      <c r="P53" s="90">
        <f>D53</f>
        <v>0</v>
      </c>
      <c r="Q53" s="90"/>
      <c r="R53" s="90">
        <f>SUBTOTAL(9,R54:R55)</f>
        <v>0</v>
      </c>
      <c r="S53" s="90">
        <f>SUBTOTAL(9,S54:S55)</f>
        <v>0</v>
      </c>
      <c r="T53" s="95" t="s">
        <v>149</v>
      </c>
    </row>
    <row r="54" spans="1:20" x14ac:dyDescent="0.25">
      <c r="A54" s="92">
        <v>1</v>
      </c>
      <c r="B54" s="93" t="s">
        <v>134</v>
      </c>
      <c r="C54" s="94">
        <v>117000</v>
      </c>
      <c r="D54" s="94">
        <f>D53</f>
        <v>0</v>
      </c>
      <c r="E54" s="94">
        <v>12</v>
      </c>
      <c r="F54" s="94">
        <f>D54*E54*$C54</f>
        <v>0</v>
      </c>
      <c r="G54" s="94">
        <f>G53</f>
        <v>0</v>
      </c>
      <c r="H54" s="94">
        <v>12</v>
      </c>
      <c r="I54" s="94">
        <f>G54*H54*$C54</f>
        <v>0</v>
      </c>
      <c r="J54" s="94">
        <f>J53</f>
        <v>0</v>
      </c>
      <c r="K54" s="94">
        <v>12</v>
      </c>
      <c r="L54" s="94">
        <f>J54*K54*$C54</f>
        <v>0</v>
      </c>
      <c r="M54" s="94">
        <f>M53</f>
        <v>0</v>
      </c>
      <c r="N54" s="94">
        <v>12</v>
      </c>
      <c r="O54" s="94">
        <f>M54*N54*$C54</f>
        <v>0</v>
      </c>
      <c r="P54" s="94">
        <f>P53</f>
        <v>0</v>
      </c>
      <c r="Q54" s="94">
        <v>12</v>
      </c>
      <c r="R54" s="94">
        <f>P54*Q54*$C54</f>
        <v>0</v>
      </c>
      <c r="S54" s="94">
        <f>F54+I54+L54+O54+R54</f>
        <v>0</v>
      </c>
      <c r="T54" s="95"/>
    </row>
    <row r="55" spans="1:20" x14ac:dyDescent="0.25">
      <c r="A55" s="92">
        <v>2</v>
      </c>
      <c r="B55" s="93" t="s">
        <v>205</v>
      </c>
      <c r="C55" s="94">
        <v>327600</v>
      </c>
      <c r="D55" s="94">
        <f>D53</f>
        <v>0</v>
      </c>
      <c r="E55" s="94">
        <v>12</v>
      </c>
      <c r="F55" s="94">
        <f>D55*E55*$C55</f>
        <v>0</v>
      </c>
      <c r="G55" s="94">
        <f>G53</f>
        <v>0</v>
      </c>
      <c r="H55" s="94">
        <v>12</v>
      </c>
      <c r="I55" s="94">
        <f>G55*H55*$C55</f>
        <v>0</v>
      </c>
      <c r="J55" s="94">
        <f>J53</f>
        <v>0</v>
      </c>
      <c r="K55" s="94">
        <v>12</v>
      </c>
      <c r="L55" s="94">
        <f>J55*K55*$C55</f>
        <v>0</v>
      </c>
      <c r="M55" s="94">
        <f>M53</f>
        <v>0</v>
      </c>
      <c r="N55" s="94">
        <v>12</v>
      </c>
      <c r="O55" s="94">
        <f>M55*N55*$C55</f>
        <v>0</v>
      </c>
      <c r="P55" s="94">
        <f>P53</f>
        <v>0</v>
      </c>
      <c r="Q55" s="94">
        <v>12</v>
      </c>
      <c r="R55" s="94">
        <f>P55*Q55*$C55</f>
        <v>0</v>
      </c>
      <c r="S55" s="94">
        <f>F55+I55+L55+O55+R55</f>
        <v>0</v>
      </c>
      <c r="T55" s="95"/>
    </row>
    <row r="56" spans="1:20" s="91" customFormat="1" x14ac:dyDescent="0.25">
      <c r="A56" s="84" t="s">
        <v>148</v>
      </c>
      <c r="B56" s="89" t="s">
        <v>64</v>
      </c>
      <c r="C56" s="90"/>
      <c r="D56" s="90">
        <f>PL2A!E18</f>
        <v>475</v>
      </c>
      <c r="E56" s="90"/>
      <c r="F56" s="90">
        <f>SUBTOTAL(9,F57:F58)</f>
        <v>2847150000</v>
      </c>
      <c r="G56" s="90">
        <f>PL2A!G18</f>
        <v>250</v>
      </c>
      <c r="H56" s="90"/>
      <c r="I56" s="90">
        <f>SUBTOTAL(9,I57:I58)</f>
        <v>1498500000</v>
      </c>
      <c r="J56" s="90">
        <f>G56</f>
        <v>250</v>
      </c>
      <c r="K56" s="90"/>
      <c r="L56" s="90">
        <f>SUBTOTAL(9,L57:L58)</f>
        <v>1498500000</v>
      </c>
      <c r="M56" s="90">
        <f>G56</f>
        <v>250</v>
      </c>
      <c r="N56" s="90"/>
      <c r="O56" s="90">
        <f>SUBTOTAL(9,O57:O58)</f>
        <v>1498500000</v>
      </c>
      <c r="P56" s="90">
        <f>G56</f>
        <v>250</v>
      </c>
      <c r="Q56" s="90"/>
      <c r="R56" s="90">
        <f>SUBTOTAL(9,R57:R58)</f>
        <v>1498500000</v>
      </c>
      <c r="S56" s="90">
        <f>SUBTOTAL(9,S57:S58)</f>
        <v>8841150000</v>
      </c>
      <c r="T56" s="95" t="s">
        <v>190</v>
      </c>
    </row>
    <row r="57" spans="1:20" x14ac:dyDescent="0.25">
      <c r="A57" s="92">
        <v>1</v>
      </c>
      <c r="B57" s="93" t="s">
        <v>134</v>
      </c>
      <c r="C57" s="94">
        <v>72000</v>
      </c>
      <c r="D57" s="94">
        <f>D56</f>
        <v>475</v>
      </c>
      <c r="E57" s="94">
        <v>15</v>
      </c>
      <c r="F57" s="94">
        <f>D57*E57*$C57</f>
        <v>513000000</v>
      </c>
      <c r="G57" s="94">
        <f>G56</f>
        <v>250</v>
      </c>
      <c r="H57" s="94">
        <v>15</v>
      </c>
      <c r="I57" s="94">
        <f>G57*H57*$C57</f>
        <v>270000000</v>
      </c>
      <c r="J57" s="94">
        <f>J56</f>
        <v>250</v>
      </c>
      <c r="K57" s="94">
        <v>15</v>
      </c>
      <c r="L57" s="94">
        <f>J57*K57*$C57</f>
        <v>270000000</v>
      </c>
      <c r="M57" s="94">
        <f>M56</f>
        <v>250</v>
      </c>
      <c r="N57" s="94">
        <v>15</v>
      </c>
      <c r="O57" s="94">
        <f>M57*N57*$C57</f>
        <v>270000000</v>
      </c>
      <c r="P57" s="94">
        <f>P56</f>
        <v>250</v>
      </c>
      <c r="Q57" s="94">
        <v>15</v>
      </c>
      <c r="R57" s="94">
        <f>P57*Q57*$C57</f>
        <v>270000000</v>
      </c>
      <c r="S57" s="94">
        <f>F57+I57+L57+O57+R57</f>
        <v>1593000000</v>
      </c>
      <c r="T57" s="95"/>
    </row>
    <row r="58" spans="1:20" x14ac:dyDescent="0.25">
      <c r="A58" s="92">
        <v>2</v>
      </c>
      <c r="B58" s="93" t="s">
        <v>205</v>
      </c>
      <c r="C58" s="94">
        <v>327600</v>
      </c>
      <c r="D58" s="94">
        <f>D56</f>
        <v>475</v>
      </c>
      <c r="E58" s="94">
        <v>15</v>
      </c>
      <c r="F58" s="94">
        <f>D58*E58*$C58</f>
        <v>2334150000</v>
      </c>
      <c r="G58" s="94">
        <f>G56</f>
        <v>250</v>
      </c>
      <c r="H58" s="94">
        <v>15</v>
      </c>
      <c r="I58" s="94">
        <f>G58*H58*$C58</f>
        <v>1228500000</v>
      </c>
      <c r="J58" s="94">
        <f>J56</f>
        <v>250</v>
      </c>
      <c r="K58" s="94">
        <v>15</v>
      </c>
      <c r="L58" s="94">
        <f>J58*K58*$C58</f>
        <v>1228500000</v>
      </c>
      <c r="M58" s="94">
        <f>M56</f>
        <v>250</v>
      </c>
      <c r="N58" s="94">
        <v>15</v>
      </c>
      <c r="O58" s="94">
        <f>M58*N58*$C58</f>
        <v>1228500000</v>
      </c>
      <c r="P58" s="94">
        <f>P56</f>
        <v>250</v>
      </c>
      <c r="Q58" s="94">
        <v>15</v>
      </c>
      <c r="R58" s="94">
        <f>P58*Q58*$C58</f>
        <v>1228500000</v>
      </c>
      <c r="S58" s="94">
        <f>F58+I58+L58+O58+R58</f>
        <v>7248150000</v>
      </c>
      <c r="T58" s="95"/>
    </row>
    <row r="59" spans="1:20" s="91" customFormat="1" x14ac:dyDescent="0.25">
      <c r="A59" s="84" t="s">
        <v>219</v>
      </c>
      <c r="B59" s="89" t="s">
        <v>215</v>
      </c>
      <c r="C59" s="90"/>
      <c r="D59" s="90">
        <f>D60+D63+D67</f>
        <v>390</v>
      </c>
      <c r="E59" s="90">
        <f t="shared" ref="E59:Q59" si="3">E60+E63+E67</f>
        <v>0</v>
      </c>
      <c r="F59" s="90">
        <f>SUBTOTAL(9,F60:F76)</f>
        <v>2181816000</v>
      </c>
      <c r="G59" s="90">
        <f t="shared" si="3"/>
        <v>0</v>
      </c>
      <c r="H59" s="90">
        <f t="shared" si="3"/>
        <v>0</v>
      </c>
      <c r="I59" s="90">
        <f>SUBTOTAL(9,I60:I76)</f>
        <v>0</v>
      </c>
      <c r="J59" s="90">
        <f t="shared" si="3"/>
        <v>0</v>
      </c>
      <c r="K59" s="90">
        <f t="shared" si="3"/>
        <v>0</v>
      </c>
      <c r="L59" s="90">
        <f>SUBTOTAL(9,L60:L76)</f>
        <v>0</v>
      </c>
      <c r="M59" s="90">
        <f t="shared" si="3"/>
        <v>390</v>
      </c>
      <c r="N59" s="90">
        <f t="shared" si="3"/>
        <v>0</v>
      </c>
      <c r="O59" s="90">
        <f>SUBTOTAL(9,O60:O76)</f>
        <v>2181816000</v>
      </c>
      <c r="P59" s="90">
        <f t="shared" si="3"/>
        <v>0</v>
      </c>
      <c r="Q59" s="90">
        <f t="shared" si="3"/>
        <v>0</v>
      </c>
      <c r="R59" s="90">
        <f>SUBTOTAL(9,R60:R76)</f>
        <v>0</v>
      </c>
      <c r="S59" s="90">
        <f>SUBTOTAL(9,S60:S76)</f>
        <v>4363632000</v>
      </c>
      <c r="T59" s="95"/>
    </row>
    <row r="60" spans="1:20" s="91" customFormat="1" ht="14.25" x14ac:dyDescent="0.2">
      <c r="A60" s="84" t="s">
        <v>35</v>
      </c>
      <c r="B60" s="89" t="s">
        <v>346</v>
      </c>
      <c r="C60" s="90"/>
      <c r="D60" s="90">
        <v>390</v>
      </c>
      <c r="E60" s="90"/>
      <c r="F60" s="90">
        <f>SUBTOTAL(9,F61:F62)</f>
        <v>2181816000</v>
      </c>
      <c r="G60" s="90"/>
      <c r="H60" s="90"/>
      <c r="I60" s="90">
        <f>SUBTOTAL(9,I61:I62)</f>
        <v>0</v>
      </c>
      <c r="J60" s="90"/>
      <c r="K60" s="90"/>
      <c r="L60" s="90">
        <f>SUBTOTAL(9,L61:L62)</f>
        <v>0</v>
      </c>
      <c r="M60" s="90">
        <f>D60</f>
        <v>390</v>
      </c>
      <c r="N60" s="90"/>
      <c r="O60" s="90">
        <f>SUBTOTAL(9,O61:O62)</f>
        <v>2181816000</v>
      </c>
      <c r="P60" s="90"/>
      <c r="Q60" s="90"/>
      <c r="R60" s="90">
        <f>SUBTOTAL(9,R61:R62)</f>
        <v>0</v>
      </c>
      <c r="S60" s="90">
        <f>SUBTOTAL(9,S61:S62)</f>
        <v>4363632000</v>
      </c>
      <c r="T60" s="100" t="s">
        <v>307</v>
      </c>
    </row>
    <row r="61" spans="1:20" x14ac:dyDescent="0.25">
      <c r="A61" s="92">
        <v>1</v>
      </c>
      <c r="B61" s="93" t="s">
        <v>134</v>
      </c>
      <c r="C61" s="94">
        <v>72000</v>
      </c>
      <c r="D61" s="94">
        <v>390</v>
      </c>
      <c r="E61" s="94">
        <v>14</v>
      </c>
      <c r="F61" s="94">
        <f>D61*E61*$C61</f>
        <v>393120000</v>
      </c>
      <c r="G61" s="94">
        <f>G60</f>
        <v>0</v>
      </c>
      <c r="H61" s="94"/>
      <c r="I61" s="94">
        <f>G61*H61*$C61</f>
        <v>0</v>
      </c>
      <c r="J61" s="94">
        <f>J60</f>
        <v>0</v>
      </c>
      <c r="K61" s="94"/>
      <c r="L61" s="94">
        <f>J61*K61*$C61</f>
        <v>0</v>
      </c>
      <c r="M61" s="94">
        <f>M60</f>
        <v>390</v>
      </c>
      <c r="N61" s="94">
        <v>14</v>
      </c>
      <c r="O61" s="94">
        <f>M61*N61*$C61</f>
        <v>393120000</v>
      </c>
      <c r="P61" s="94"/>
      <c r="Q61" s="94"/>
      <c r="R61" s="94">
        <f>P61*Q61*$C61</f>
        <v>0</v>
      </c>
      <c r="S61" s="94">
        <f>F61+I61+L61+O61+R61</f>
        <v>786240000</v>
      </c>
      <c r="T61" s="101"/>
    </row>
    <row r="62" spans="1:20" x14ac:dyDescent="0.25">
      <c r="A62" s="92">
        <v>2</v>
      </c>
      <c r="B62" s="93" t="s">
        <v>205</v>
      </c>
      <c r="C62" s="94">
        <v>327600</v>
      </c>
      <c r="D62" s="94">
        <f>D61</f>
        <v>390</v>
      </c>
      <c r="E62" s="94">
        <v>14</v>
      </c>
      <c r="F62" s="94">
        <f>D62*E62*$C62</f>
        <v>1788696000</v>
      </c>
      <c r="G62" s="94">
        <f>G61</f>
        <v>0</v>
      </c>
      <c r="H62" s="94"/>
      <c r="I62" s="94">
        <f>G62*H62*$C62</f>
        <v>0</v>
      </c>
      <c r="J62" s="94">
        <f>J61</f>
        <v>0</v>
      </c>
      <c r="K62" s="94"/>
      <c r="L62" s="94">
        <f>J62*K62*$C62</f>
        <v>0</v>
      </c>
      <c r="M62" s="94">
        <f>M61</f>
        <v>390</v>
      </c>
      <c r="N62" s="94">
        <v>14</v>
      </c>
      <c r="O62" s="94">
        <f>M62*N62*$C62</f>
        <v>1788696000</v>
      </c>
      <c r="P62" s="94"/>
      <c r="Q62" s="94"/>
      <c r="R62" s="94">
        <f>P62*Q62*$C62</f>
        <v>0</v>
      </c>
      <c r="S62" s="94">
        <f>F62+I62+L62+O62+R62</f>
        <v>3577392000</v>
      </c>
      <c r="T62" s="95"/>
    </row>
    <row r="63" spans="1:20" s="91" customFormat="1" ht="14.25" x14ac:dyDescent="0.2">
      <c r="A63" s="84" t="s">
        <v>47</v>
      </c>
      <c r="B63" s="89" t="s">
        <v>365</v>
      </c>
      <c r="C63" s="90"/>
      <c r="D63" s="90">
        <v>0</v>
      </c>
      <c r="E63" s="90">
        <f t="shared" ref="E63:R63" si="4">E64</f>
        <v>0</v>
      </c>
      <c r="F63" s="90">
        <f>SUBTOTAL(9,F64:F66)</f>
        <v>0</v>
      </c>
      <c r="G63" s="90">
        <f t="shared" si="4"/>
        <v>0</v>
      </c>
      <c r="H63" s="90">
        <f t="shared" si="4"/>
        <v>0</v>
      </c>
      <c r="I63" s="90">
        <f>SUBTOTAL(9,I64:I66)</f>
        <v>0</v>
      </c>
      <c r="J63" s="90">
        <f t="shared" si="4"/>
        <v>0</v>
      </c>
      <c r="K63" s="90">
        <f t="shared" si="4"/>
        <v>0</v>
      </c>
      <c r="L63" s="90">
        <f>SUBTOTAL(9,L64:L66)</f>
        <v>0</v>
      </c>
      <c r="M63" s="90">
        <f t="shared" si="4"/>
        <v>0</v>
      </c>
      <c r="N63" s="90">
        <f t="shared" si="4"/>
        <v>0</v>
      </c>
      <c r="O63" s="90">
        <f>SUBTOTAL(9,O64:O66)</f>
        <v>0</v>
      </c>
      <c r="P63" s="90">
        <f t="shared" si="4"/>
        <v>0</v>
      </c>
      <c r="Q63" s="90">
        <f t="shared" si="4"/>
        <v>0</v>
      </c>
      <c r="R63" s="90">
        <f t="shared" si="4"/>
        <v>0</v>
      </c>
      <c r="S63" s="90">
        <f>SUBTOTAL(9,S64:S66)</f>
        <v>0</v>
      </c>
      <c r="T63" s="100" t="s">
        <v>218</v>
      </c>
    </row>
    <row r="64" spans="1:20" s="91" customFormat="1" ht="14.25" x14ac:dyDescent="0.2">
      <c r="A64" s="84" t="s">
        <v>117</v>
      </c>
      <c r="B64" s="89" t="s">
        <v>209</v>
      </c>
      <c r="C64" s="90"/>
      <c r="D64" s="90"/>
      <c r="E64" s="90"/>
      <c r="F64" s="90">
        <f t="shared" ref="F64:F66" si="5">SUBTOTAL(9,F65:F67)</f>
        <v>0</v>
      </c>
      <c r="G64" s="90">
        <f>D64</f>
        <v>0</v>
      </c>
      <c r="H64" s="90"/>
      <c r="I64" s="90">
        <f>SUBTOTAL(9,I65:I66)</f>
        <v>0</v>
      </c>
      <c r="J64" s="90">
        <f>D64</f>
        <v>0</v>
      </c>
      <c r="K64" s="90"/>
      <c r="L64" s="90">
        <f>SUBTOTAL(9,L65:L66)</f>
        <v>0</v>
      </c>
      <c r="M64" s="90">
        <f>D64</f>
        <v>0</v>
      </c>
      <c r="N64" s="90"/>
      <c r="O64" s="90">
        <f>SUBTOTAL(9,O65:O66)</f>
        <v>0</v>
      </c>
      <c r="P64" s="90"/>
      <c r="Q64" s="90"/>
      <c r="R64" s="90">
        <f>SUBTOTAL(9,R65:R66)</f>
        <v>0</v>
      </c>
      <c r="S64" s="90">
        <f>SUBTOTAL(9,S65:S66)</f>
        <v>0</v>
      </c>
      <c r="T64" s="105" t="s">
        <v>262</v>
      </c>
    </row>
    <row r="65" spans="1:20" x14ac:dyDescent="0.25">
      <c r="A65" s="92">
        <v>1</v>
      </c>
      <c r="B65" s="93" t="s">
        <v>134</v>
      </c>
      <c r="C65" s="94">
        <v>72000</v>
      </c>
      <c r="D65" s="94"/>
      <c r="E65" s="94"/>
      <c r="F65" s="90">
        <f t="shared" si="5"/>
        <v>0</v>
      </c>
      <c r="G65" s="94">
        <f>G64</f>
        <v>0</v>
      </c>
      <c r="H65" s="94"/>
      <c r="I65" s="94">
        <f>G65*H65*$C65</f>
        <v>0</v>
      </c>
      <c r="J65" s="94">
        <f>J64</f>
        <v>0</v>
      </c>
      <c r="K65" s="94"/>
      <c r="L65" s="94">
        <f>J65*K65*$C65</f>
        <v>0</v>
      </c>
      <c r="M65" s="94">
        <f>M64</f>
        <v>0</v>
      </c>
      <c r="N65" s="94"/>
      <c r="O65" s="94">
        <f>M65*N65*$C65</f>
        <v>0</v>
      </c>
      <c r="P65" s="94"/>
      <c r="Q65" s="94"/>
      <c r="R65" s="94">
        <f>P65*Q65*$C65</f>
        <v>0</v>
      </c>
      <c r="S65" s="94">
        <f>F65+I65+L65+O65+R65</f>
        <v>0</v>
      </c>
      <c r="T65" s="100"/>
    </row>
    <row r="66" spans="1:20" x14ac:dyDescent="0.25">
      <c r="A66" s="92">
        <v>2</v>
      </c>
      <c r="B66" s="93" t="s">
        <v>205</v>
      </c>
      <c r="C66" s="94">
        <v>327600</v>
      </c>
      <c r="D66" s="94"/>
      <c r="E66" s="94"/>
      <c r="F66" s="90">
        <f t="shared" si="5"/>
        <v>0</v>
      </c>
      <c r="G66" s="94">
        <f>G64</f>
        <v>0</v>
      </c>
      <c r="H66" s="94"/>
      <c r="I66" s="94">
        <f>G66*H66*$C66</f>
        <v>0</v>
      </c>
      <c r="J66" s="94">
        <f>J64</f>
        <v>0</v>
      </c>
      <c r="K66" s="94"/>
      <c r="L66" s="94">
        <f>J66*K66*$C66</f>
        <v>0</v>
      </c>
      <c r="M66" s="94">
        <f>M64</f>
        <v>0</v>
      </c>
      <c r="N66" s="94"/>
      <c r="O66" s="94">
        <f>M66*N66*$C66</f>
        <v>0</v>
      </c>
      <c r="P66" s="94"/>
      <c r="Q66" s="94"/>
      <c r="R66" s="94">
        <f>P66*Q66*$C66</f>
        <v>0</v>
      </c>
      <c r="S66" s="94">
        <f>F66+I66+L66+O66+R66</f>
        <v>0</v>
      </c>
      <c r="T66" s="100" t="s">
        <v>263</v>
      </c>
    </row>
    <row r="67" spans="1:20" s="91" customFormat="1" ht="14.25" x14ac:dyDescent="0.2">
      <c r="A67" s="84" t="s">
        <v>47</v>
      </c>
      <c r="B67" s="89" t="s">
        <v>259</v>
      </c>
      <c r="C67" s="90"/>
      <c r="D67" s="90"/>
      <c r="E67" s="90"/>
      <c r="F67" s="90"/>
      <c r="G67" s="90">
        <f>G68+G71+G74</f>
        <v>0</v>
      </c>
      <c r="H67" s="90">
        <f t="shared" ref="H67:Q67" si="6">H68+H71+H74</f>
        <v>0</v>
      </c>
      <c r="I67" s="90">
        <f>SUBTOTAL(9,I68:I76)</f>
        <v>0</v>
      </c>
      <c r="J67" s="90">
        <f t="shared" si="6"/>
        <v>0</v>
      </c>
      <c r="K67" s="90">
        <f t="shared" si="6"/>
        <v>0</v>
      </c>
      <c r="L67" s="90">
        <f>SUBTOTAL(9,L68:L76)</f>
        <v>0</v>
      </c>
      <c r="M67" s="90">
        <f t="shared" si="6"/>
        <v>0</v>
      </c>
      <c r="N67" s="90">
        <f t="shared" si="6"/>
        <v>0</v>
      </c>
      <c r="O67" s="90">
        <f>SUBTOTAL(9,O68:O76)</f>
        <v>0</v>
      </c>
      <c r="P67" s="90">
        <f t="shared" si="6"/>
        <v>0</v>
      </c>
      <c r="Q67" s="90">
        <f t="shared" si="6"/>
        <v>0</v>
      </c>
      <c r="R67" s="90">
        <f>SUBTOTAL(9,R68:R76)</f>
        <v>0</v>
      </c>
      <c r="S67" s="90">
        <f>SUBTOTAL(9,S68:S76)</f>
        <v>0</v>
      </c>
      <c r="T67" s="100" t="s">
        <v>264</v>
      </c>
    </row>
    <row r="68" spans="1:20" s="91" customFormat="1" ht="22.5" x14ac:dyDescent="0.2">
      <c r="A68" s="84" t="s">
        <v>117</v>
      </c>
      <c r="B68" s="89" t="s">
        <v>209</v>
      </c>
      <c r="C68" s="90"/>
      <c r="D68" s="90"/>
      <c r="E68" s="90"/>
      <c r="F68" s="90">
        <f>SUBTOTAL(9,F69:F70)</f>
        <v>0</v>
      </c>
      <c r="G68" s="90">
        <v>0</v>
      </c>
      <c r="H68" s="90"/>
      <c r="I68" s="90">
        <f>SUBTOTAL(9,I69:I70)</f>
        <v>0</v>
      </c>
      <c r="J68" s="90">
        <f>D68</f>
        <v>0</v>
      </c>
      <c r="K68" s="90"/>
      <c r="L68" s="90">
        <f>SUBTOTAL(9,L69:L70)</f>
        <v>0</v>
      </c>
      <c r="M68" s="90">
        <f>D68</f>
        <v>0</v>
      </c>
      <c r="N68" s="90"/>
      <c r="O68" s="90">
        <f>SUBTOTAL(9,O69:O70)</f>
        <v>0</v>
      </c>
      <c r="P68" s="90"/>
      <c r="Q68" s="90"/>
      <c r="R68" s="90">
        <f>SUBTOTAL(9,R69:R70)</f>
        <v>0</v>
      </c>
      <c r="S68" s="90">
        <f>SUBTOTAL(9,S69:S70)</f>
        <v>0</v>
      </c>
      <c r="T68" s="105" t="s">
        <v>265</v>
      </c>
    </row>
    <row r="69" spans="1:20" x14ac:dyDescent="0.25">
      <c r="A69" s="92">
        <v>1</v>
      </c>
      <c r="B69" s="93" t="s">
        <v>134</v>
      </c>
      <c r="C69" s="94">
        <v>72000</v>
      </c>
      <c r="D69" s="94"/>
      <c r="E69" s="94"/>
      <c r="F69" s="94">
        <f>D69*E69*$C69</f>
        <v>0</v>
      </c>
      <c r="G69" s="94">
        <f>G68</f>
        <v>0</v>
      </c>
      <c r="H69" s="94"/>
      <c r="I69" s="94">
        <f>G69*H69*$C69</f>
        <v>0</v>
      </c>
      <c r="J69" s="94">
        <f>J68</f>
        <v>0</v>
      </c>
      <c r="K69" s="94"/>
      <c r="L69" s="94">
        <f>J69*K69*$C69</f>
        <v>0</v>
      </c>
      <c r="M69" s="94">
        <f>M68</f>
        <v>0</v>
      </c>
      <c r="N69" s="94"/>
      <c r="O69" s="94">
        <f>M69*N69*$C69</f>
        <v>0</v>
      </c>
      <c r="P69" s="94"/>
      <c r="Q69" s="94"/>
      <c r="R69" s="94">
        <f>P69*Q69*$C69</f>
        <v>0</v>
      </c>
      <c r="S69" s="94">
        <f>F69+I69+L69+O69+R69</f>
        <v>0</v>
      </c>
      <c r="T69" s="100"/>
    </row>
    <row r="70" spans="1:20" x14ac:dyDescent="0.25">
      <c r="A70" s="92">
        <v>2</v>
      </c>
      <c r="B70" s="93" t="s">
        <v>205</v>
      </c>
      <c r="C70" s="94">
        <v>327600</v>
      </c>
      <c r="D70" s="94"/>
      <c r="E70" s="94"/>
      <c r="F70" s="94">
        <f>D70*E70*$C70</f>
        <v>0</v>
      </c>
      <c r="G70" s="94">
        <f>G68</f>
        <v>0</v>
      </c>
      <c r="H70" s="94"/>
      <c r="I70" s="94">
        <f>G70*H70*$C70</f>
        <v>0</v>
      </c>
      <c r="J70" s="94">
        <f>J68</f>
        <v>0</v>
      </c>
      <c r="K70" s="94"/>
      <c r="L70" s="94">
        <f>J70*K70*$C70</f>
        <v>0</v>
      </c>
      <c r="M70" s="94">
        <f>M68</f>
        <v>0</v>
      </c>
      <c r="N70" s="94"/>
      <c r="O70" s="94">
        <f>M70*N70*$C70</f>
        <v>0</v>
      </c>
      <c r="P70" s="94"/>
      <c r="Q70" s="94"/>
      <c r="R70" s="94">
        <f>P70*Q70*$C70</f>
        <v>0</v>
      </c>
      <c r="S70" s="94">
        <f>F70+I70+L70+O70+R70</f>
        <v>0</v>
      </c>
      <c r="T70" s="100"/>
    </row>
    <row r="71" spans="1:20" s="91" customFormat="1" ht="14.25" x14ac:dyDescent="0.2">
      <c r="A71" s="84" t="s">
        <v>117</v>
      </c>
      <c r="B71" s="89" t="s">
        <v>136</v>
      </c>
      <c r="C71" s="90"/>
      <c r="D71" s="90"/>
      <c r="E71" s="90"/>
      <c r="F71" s="90">
        <f>SUBTOTAL(9,F72:F73)</f>
        <v>0</v>
      </c>
      <c r="G71" s="90">
        <v>0</v>
      </c>
      <c r="H71" s="90"/>
      <c r="I71" s="90">
        <f>SUBTOTAL(9,I72:I73)</f>
        <v>0</v>
      </c>
      <c r="J71" s="90">
        <f>D71</f>
        <v>0</v>
      </c>
      <c r="K71" s="90"/>
      <c r="L71" s="90">
        <f>SUBTOTAL(9,L72:L73)</f>
        <v>0</v>
      </c>
      <c r="M71" s="90">
        <f>D71</f>
        <v>0</v>
      </c>
      <c r="N71" s="90"/>
      <c r="O71" s="90">
        <f>SUBTOTAL(9,O72:O73)</f>
        <v>0</v>
      </c>
      <c r="P71" s="90"/>
      <c r="Q71" s="90"/>
      <c r="R71" s="90">
        <f>SUBTOTAL(9,R72:R73)</f>
        <v>0</v>
      </c>
      <c r="S71" s="90">
        <f>SUBTOTAL(9,S72:S73)</f>
        <v>0</v>
      </c>
      <c r="T71" s="105"/>
    </row>
    <row r="72" spans="1:20" x14ac:dyDescent="0.25">
      <c r="A72" s="92">
        <v>1</v>
      </c>
      <c r="B72" s="93" t="s">
        <v>134</v>
      </c>
      <c r="C72" s="94">
        <v>72000</v>
      </c>
      <c r="D72" s="94"/>
      <c r="E72" s="94"/>
      <c r="F72" s="94">
        <f>D72*E72*$C72</f>
        <v>0</v>
      </c>
      <c r="G72" s="94"/>
      <c r="H72" s="94"/>
      <c r="I72" s="94">
        <f>G72*H72*$C72</f>
        <v>0</v>
      </c>
      <c r="J72" s="94">
        <f>J71</f>
        <v>0</v>
      </c>
      <c r="K72" s="94"/>
      <c r="L72" s="94">
        <f>J72*K72*$C72</f>
        <v>0</v>
      </c>
      <c r="M72" s="94">
        <f>M71</f>
        <v>0</v>
      </c>
      <c r="N72" s="94"/>
      <c r="O72" s="94">
        <f>M72*N72*$C72</f>
        <v>0</v>
      </c>
      <c r="P72" s="94"/>
      <c r="Q72" s="94"/>
      <c r="R72" s="94">
        <f>P72*Q72*$C72</f>
        <v>0</v>
      </c>
      <c r="S72" s="94">
        <f>F72+I72+L72+O72+R72</f>
        <v>0</v>
      </c>
      <c r="T72" s="100"/>
    </row>
    <row r="73" spans="1:20" x14ac:dyDescent="0.25">
      <c r="A73" s="92">
        <v>2</v>
      </c>
      <c r="B73" s="93" t="s">
        <v>205</v>
      </c>
      <c r="C73" s="94">
        <v>327600</v>
      </c>
      <c r="D73" s="94"/>
      <c r="E73" s="94"/>
      <c r="F73" s="94">
        <f>D73*E73*$C73</f>
        <v>0</v>
      </c>
      <c r="G73" s="94"/>
      <c r="H73" s="94"/>
      <c r="I73" s="94">
        <f>G73*H73*$C73</f>
        <v>0</v>
      </c>
      <c r="J73" s="94">
        <f>J71</f>
        <v>0</v>
      </c>
      <c r="K73" s="94"/>
      <c r="L73" s="94">
        <f>J73*K73*$C73</f>
        <v>0</v>
      </c>
      <c r="M73" s="94">
        <f>M71</f>
        <v>0</v>
      </c>
      <c r="N73" s="94"/>
      <c r="O73" s="94">
        <f>M73*N73*$C73</f>
        <v>0</v>
      </c>
      <c r="P73" s="94"/>
      <c r="Q73" s="94"/>
      <c r="R73" s="94">
        <f>P73*Q73*$C73</f>
        <v>0</v>
      </c>
      <c r="S73" s="94">
        <f>F73+I73+L73+O73+R73</f>
        <v>0</v>
      </c>
      <c r="T73" s="100"/>
    </row>
    <row r="74" spans="1:20" s="91" customFormat="1" ht="14.25" x14ac:dyDescent="0.2">
      <c r="A74" s="84" t="s">
        <v>117</v>
      </c>
      <c r="B74" s="89" t="s">
        <v>137</v>
      </c>
      <c r="C74" s="90"/>
      <c r="D74" s="90"/>
      <c r="E74" s="90"/>
      <c r="F74" s="90">
        <f>SUBTOTAL(9,F75:F76)</f>
        <v>0</v>
      </c>
      <c r="G74" s="90">
        <v>0</v>
      </c>
      <c r="H74" s="90"/>
      <c r="I74" s="90">
        <f>SUBTOTAL(9,I75:I76)</f>
        <v>0</v>
      </c>
      <c r="J74" s="90">
        <f>D74</f>
        <v>0</v>
      </c>
      <c r="K74" s="90"/>
      <c r="L74" s="90">
        <f>SUBTOTAL(9,L75:L76)</f>
        <v>0</v>
      </c>
      <c r="M74" s="90">
        <f>D74</f>
        <v>0</v>
      </c>
      <c r="N74" s="90"/>
      <c r="O74" s="90">
        <f>SUBTOTAL(9,O75:O76)</f>
        <v>0</v>
      </c>
      <c r="P74" s="90"/>
      <c r="Q74" s="90"/>
      <c r="R74" s="90">
        <f>SUBTOTAL(9,R75:R76)</f>
        <v>0</v>
      </c>
      <c r="S74" s="90">
        <f>SUBTOTAL(9,S75:S76)</f>
        <v>0</v>
      </c>
      <c r="T74" s="100"/>
    </row>
    <row r="75" spans="1:20" x14ac:dyDescent="0.25">
      <c r="A75" s="92">
        <v>1</v>
      </c>
      <c r="B75" s="93" t="s">
        <v>134</v>
      </c>
      <c r="C75" s="94">
        <v>72000</v>
      </c>
      <c r="D75" s="94"/>
      <c r="E75" s="94"/>
      <c r="F75" s="94">
        <f>D75*E75*$C75</f>
        <v>0</v>
      </c>
      <c r="G75" s="94"/>
      <c r="H75" s="94"/>
      <c r="I75" s="94">
        <f>G75*H75*$C75</f>
        <v>0</v>
      </c>
      <c r="J75" s="94">
        <f>J74</f>
        <v>0</v>
      </c>
      <c r="K75" s="94"/>
      <c r="L75" s="94">
        <f>J75*K75*$C75</f>
        <v>0</v>
      </c>
      <c r="M75" s="94">
        <f>M74</f>
        <v>0</v>
      </c>
      <c r="N75" s="94"/>
      <c r="O75" s="94">
        <f>M75*N75*$C75</f>
        <v>0</v>
      </c>
      <c r="P75" s="94"/>
      <c r="Q75" s="94"/>
      <c r="R75" s="94">
        <f>P75*Q75*$C75</f>
        <v>0</v>
      </c>
      <c r="S75" s="94">
        <f>F75+I75+L75+O75+R75</f>
        <v>0</v>
      </c>
      <c r="T75" s="100"/>
    </row>
    <row r="76" spans="1:20" x14ac:dyDescent="0.25">
      <c r="A76" s="92">
        <v>2</v>
      </c>
      <c r="B76" s="93" t="s">
        <v>205</v>
      </c>
      <c r="C76" s="94">
        <v>327600</v>
      </c>
      <c r="D76" s="94"/>
      <c r="E76" s="94"/>
      <c r="F76" s="94">
        <f>D76*E76*$C76</f>
        <v>0</v>
      </c>
      <c r="G76" s="94"/>
      <c r="H76" s="94"/>
      <c r="I76" s="94">
        <f>G76*H76*$C76</f>
        <v>0</v>
      </c>
      <c r="J76" s="94">
        <f>J74</f>
        <v>0</v>
      </c>
      <c r="K76" s="94"/>
      <c r="L76" s="94">
        <f>J76*K76*$C76</f>
        <v>0</v>
      </c>
      <c r="M76" s="94">
        <f>M74</f>
        <v>0</v>
      </c>
      <c r="N76" s="94"/>
      <c r="O76" s="94">
        <f>M76*N76*$C76</f>
        <v>0</v>
      </c>
      <c r="P76" s="94"/>
      <c r="Q76" s="94"/>
      <c r="R76" s="94">
        <f>P76*Q76*$C76</f>
        <v>0</v>
      </c>
      <c r="S76" s="94">
        <f>F76+I76+L76+O76+R76</f>
        <v>0</v>
      </c>
      <c r="T76" s="100"/>
    </row>
    <row r="77" spans="1:20" s="91" customFormat="1" ht="14.25" x14ac:dyDescent="0.2">
      <c r="A77" s="84" t="s">
        <v>289</v>
      </c>
      <c r="B77" s="89" t="s">
        <v>220</v>
      </c>
      <c r="C77" s="90"/>
      <c r="D77" s="90">
        <f>D78+D81+D84</f>
        <v>0</v>
      </c>
      <c r="E77" s="90"/>
      <c r="F77" s="90">
        <f>SUBTOTAL(9,F78:F87)</f>
        <v>0</v>
      </c>
      <c r="G77" s="90">
        <f>G78+G81+G84</f>
        <v>20</v>
      </c>
      <c r="H77" s="90"/>
      <c r="I77" s="90">
        <f>SUBTOTAL(9,I78:I87)</f>
        <v>23976000</v>
      </c>
      <c r="J77" s="90">
        <f>J78+J81+J84</f>
        <v>20</v>
      </c>
      <c r="K77" s="90"/>
      <c r="L77" s="90">
        <f>SUBTOTAL(9,L78:L87)</f>
        <v>23976000</v>
      </c>
      <c r="M77" s="90">
        <f>M78+M81+M84</f>
        <v>20</v>
      </c>
      <c r="N77" s="90"/>
      <c r="O77" s="90">
        <f>SUBTOTAL(9,O78:O87)</f>
        <v>23976000</v>
      </c>
      <c r="P77" s="90">
        <f>P78+P81+P84</f>
        <v>20</v>
      </c>
      <c r="Q77" s="90"/>
      <c r="R77" s="90">
        <f>SUBTOTAL(9,R78:R87)</f>
        <v>23976000</v>
      </c>
      <c r="S77" s="90">
        <f>SUBTOTAL(9,S78:S87)</f>
        <v>95904000</v>
      </c>
      <c r="T77" s="100"/>
    </row>
    <row r="78" spans="1:20" s="91" customFormat="1" ht="14.25" x14ac:dyDescent="0.2">
      <c r="A78" s="84">
        <v>1</v>
      </c>
      <c r="B78" s="89" t="s">
        <v>347</v>
      </c>
      <c r="C78" s="90"/>
      <c r="D78" s="90"/>
      <c r="E78" s="90"/>
      <c r="F78" s="90">
        <f>SUBTOTAL(9,F79:F80)</f>
        <v>0</v>
      </c>
      <c r="G78" s="90">
        <f>G79</f>
        <v>20</v>
      </c>
      <c r="H78" s="90"/>
      <c r="I78" s="90">
        <f>SUBTOTAL(9,I79:I80)</f>
        <v>23976000</v>
      </c>
      <c r="J78" s="90">
        <f>G78</f>
        <v>20</v>
      </c>
      <c r="K78" s="90"/>
      <c r="L78" s="90">
        <f>SUBTOTAL(9,L79:L80)</f>
        <v>23976000</v>
      </c>
      <c r="M78" s="90">
        <f>G78</f>
        <v>20</v>
      </c>
      <c r="N78" s="90"/>
      <c r="O78" s="90">
        <f>SUBTOTAL(9,O79:O80)</f>
        <v>23976000</v>
      </c>
      <c r="P78" s="90">
        <f>G78</f>
        <v>20</v>
      </c>
      <c r="Q78" s="90"/>
      <c r="R78" s="90">
        <f>SUBTOTAL(9,R79:R80)</f>
        <v>23976000</v>
      </c>
      <c r="S78" s="90">
        <f>SUBTOTAL(9,S79:S80)</f>
        <v>95904000</v>
      </c>
      <c r="T78" s="100"/>
    </row>
    <row r="79" spans="1:20" x14ac:dyDescent="0.25">
      <c r="A79" s="92" t="s">
        <v>75</v>
      </c>
      <c r="B79" s="93" t="s">
        <v>134</v>
      </c>
      <c r="C79" s="94">
        <v>72000</v>
      </c>
      <c r="D79" s="94"/>
      <c r="E79" s="94"/>
      <c r="F79" s="94">
        <f>D79*E79*$C79</f>
        <v>0</v>
      </c>
      <c r="G79" s="94">
        <v>20</v>
      </c>
      <c r="H79" s="94">
        <v>3</v>
      </c>
      <c r="I79" s="94">
        <f>G79*H79*$C79</f>
        <v>4320000</v>
      </c>
      <c r="J79" s="94">
        <f>G79</f>
        <v>20</v>
      </c>
      <c r="K79" s="94">
        <v>3</v>
      </c>
      <c r="L79" s="94">
        <f>J79*K79*$C79</f>
        <v>4320000</v>
      </c>
      <c r="M79" s="94">
        <f>G79</f>
        <v>20</v>
      </c>
      <c r="N79" s="94">
        <v>3</v>
      </c>
      <c r="O79" s="94">
        <f>M79*N79*$C79</f>
        <v>4320000</v>
      </c>
      <c r="P79" s="94">
        <f>G79</f>
        <v>20</v>
      </c>
      <c r="Q79" s="94">
        <f>N79</f>
        <v>3</v>
      </c>
      <c r="R79" s="94">
        <f>P79*Q79*$C79</f>
        <v>4320000</v>
      </c>
      <c r="S79" s="94">
        <f>F79+I79+L79+O79+R79</f>
        <v>17280000</v>
      </c>
      <c r="T79" s="100" t="s">
        <v>331</v>
      </c>
    </row>
    <row r="80" spans="1:20" x14ac:dyDescent="0.25">
      <c r="A80" s="92" t="s">
        <v>75</v>
      </c>
      <c r="B80" s="93" t="s">
        <v>205</v>
      </c>
      <c r="C80" s="94">
        <v>327600</v>
      </c>
      <c r="D80" s="94"/>
      <c r="E80" s="94"/>
      <c r="F80" s="94">
        <f>D80*E80*$C80</f>
        <v>0</v>
      </c>
      <c r="G80" s="94">
        <f>G79</f>
        <v>20</v>
      </c>
      <c r="H80" s="94">
        <v>3</v>
      </c>
      <c r="I80" s="94">
        <f>G80*H80*$C80</f>
        <v>19656000</v>
      </c>
      <c r="J80" s="94">
        <f>G80</f>
        <v>20</v>
      </c>
      <c r="K80" s="94">
        <v>3</v>
      </c>
      <c r="L80" s="94">
        <f>J80*K80*$C80</f>
        <v>19656000</v>
      </c>
      <c r="M80" s="94">
        <f>G80</f>
        <v>20</v>
      </c>
      <c r="N80" s="94">
        <v>3</v>
      </c>
      <c r="O80" s="94">
        <f>M80*N80*$C80</f>
        <v>19656000</v>
      </c>
      <c r="P80" s="94">
        <f>G80</f>
        <v>20</v>
      </c>
      <c r="Q80" s="94">
        <f>H80</f>
        <v>3</v>
      </c>
      <c r="R80" s="94">
        <f>P80*Q80*$C80</f>
        <v>19656000</v>
      </c>
      <c r="S80" s="94">
        <f>F80+I80+L80+O80+R80</f>
        <v>78624000</v>
      </c>
      <c r="T80" s="100"/>
    </row>
    <row r="81" spans="1:21" s="91" customFormat="1" ht="14.25" hidden="1" x14ac:dyDescent="0.2">
      <c r="A81" s="84">
        <v>2</v>
      </c>
      <c r="B81" s="89" t="s">
        <v>197</v>
      </c>
      <c r="C81" s="90"/>
      <c r="D81" s="90"/>
      <c r="E81" s="90"/>
      <c r="F81" s="90">
        <f>SUBTOTAL(9,F82:F83)</f>
        <v>0</v>
      </c>
      <c r="G81" s="90">
        <f>G82</f>
        <v>0</v>
      </c>
      <c r="H81" s="90"/>
      <c r="I81" s="90">
        <f>SUBTOTAL(9,I82:I83)</f>
        <v>0</v>
      </c>
      <c r="J81" s="90">
        <f>D81</f>
        <v>0</v>
      </c>
      <c r="K81" s="90"/>
      <c r="L81" s="90">
        <f>SUBTOTAL(9,L82:L83)</f>
        <v>0</v>
      </c>
      <c r="M81" s="90"/>
      <c r="N81" s="90"/>
      <c r="O81" s="90">
        <f>SUBTOTAL(9,O82:O83)</f>
        <v>0</v>
      </c>
      <c r="P81" s="90"/>
      <c r="Q81" s="90"/>
      <c r="R81" s="90">
        <f>SUBTOTAL(9,R82:R83)</f>
        <v>0</v>
      </c>
      <c r="S81" s="90">
        <f>SUBTOTAL(9,S82:S83)</f>
        <v>0</v>
      </c>
      <c r="T81" s="100"/>
    </row>
    <row r="82" spans="1:21" ht="26.25" hidden="1" customHeight="1" x14ac:dyDescent="0.25">
      <c r="A82" s="92" t="s">
        <v>75</v>
      </c>
      <c r="B82" s="93" t="s">
        <v>134</v>
      </c>
      <c r="C82" s="94">
        <v>72000</v>
      </c>
      <c r="D82" s="94">
        <f>D81</f>
        <v>0</v>
      </c>
      <c r="E82" s="94"/>
      <c r="F82" s="94">
        <f>D82*E82*$C82</f>
        <v>0</v>
      </c>
      <c r="G82" s="94"/>
      <c r="H82" s="94"/>
      <c r="I82" s="94">
        <f>G82*H82*$C82</f>
        <v>0</v>
      </c>
      <c r="J82" s="94">
        <f>J81</f>
        <v>0</v>
      </c>
      <c r="K82" s="94"/>
      <c r="L82" s="94">
        <f>J82*K82*$C82</f>
        <v>0</v>
      </c>
      <c r="M82" s="94"/>
      <c r="N82" s="94"/>
      <c r="O82" s="94">
        <f>M82*N82*$C82</f>
        <v>0</v>
      </c>
      <c r="P82" s="94"/>
      <c r="Q82" s="94"/>
      <c r="R82" s="94">
        <f>P82*Q82*$C82</f>
        <v>0</v>
      </c>
      <c r="S82" s="94">
        <f>F82+I82+L82+O82+R82</f>
        <v>0</v>
      </c>
      <c r="T82" s="105"/>
    </row>
    <row r="83" spans="1:21" hidden="1" x14ac:dyDescent="0.25">
      <c r="A83" s="92" t="s">
        <v>75</v>
      </c>
      <c r="B83" s="93" t="s">
        <v>205</v>
      </c>
      <c r="C83" s="94">
        <v>327600</v>
      </c>
      <c r="D83" s="94">
        <f>D82</f>
        <v>0</v>
      </c>
      <c r="E83" s="94"/>
      <c r="F83" s="94">
        <f>D83*E83*$C83</f>
        <v>0</v>
      </c>
      <c r="G83" s="94"/>
      <c r="H83" s="94"/>
      <c r="I83" s="94">
        <f>G83*H83*$C83</f>
        <v>0</v>
      </c>
      <c r="J83" s="94">
        <f>J82</f>
        <v>0</v>
      </c>
      <c r="K83" s="94"/>
      <c r="L83" s="94">
        <f>J83*K83*$C83</f>
        <v>0</v>
      </c>
      <c r="M83" s="94"/>
      <c r="N83" s="94"/>
      <c r="O83" s="94">
        <f>M83*N83*$C83</f>
        <v>0</v>
      </c>
      <c r="P83" s="94"/>
      <c r="Q83" s="94"/>
      <c r="R83" s="94">
        <f>P83*Q83*$C83</f>
        <v>0</v>
      </c>
      <c r="S83" s="94">
        <f>F83+I83+L83+O83+R83</f>
        <v>0</v>
      </c>
      <c r="T83" s="100"/>
    </row>
    <row r="84" spans="1:21" s="91" customFormat="1" ht="14.25" hidden="1" x14ac:dyDescent="0.2">
      <c r="A84" s="84">
        <v>3</v>
      </c>
      <c r="B84" s="89" t="s">
        <v>198</v>
      </c>
      <c r="C84" s="90"/>
      <c r="D84" s="90"/>
      <c r="E84" s="90"/>
      <c r="F84" s="90">
        <f>SUBTOTAL(9,F85:F87)</f>
        <v>0</v>
      </c>
      <c r="G84" s="90"/>
      <c r="H84" s="90"/>
      <c r="I84" s="90">
        <f>SUBTOTAL(9,I85:I87)</f>
        <v>0</v>
      </c>
      <c r="J84" s="90">
        <f>D84</f>
        <v>0</v>
      </c>
      <c r="K84" s="90"/>
      <c r="L84" s="90">
        <f>SUBTOTAL(9,L85:L87)</f>
        <v>0</v>
      </c>
      <c r="M84" s="90">
        <f>M85</f>
        <v>0</v>
      </c>
      <c r="N84" s="90"/>
      <c r="O84" s="90">
        <f>SUBTOTAL(9,O85:O87)</f>
        <v>0</v>
      </c>
      <c r="P84" s="90">
        <f>D84</f>
        <v>0</v>
      </c>
      <c r="Q84" s="90"/>
      <c r="R84" s="90">
        <f>SUBTOTAL(9,R85:R87)</f>
        <v>0</v>
      </c>
      <c r="S84" s="90">
        <f>SUBTOTAL(9,S85:S87)</f>
        <v>0</v>
      </c>
      <c r="T84" s="100"/>
    </row>
    <row r="85" spans="1:21" hidden="1" x14ac:dyDescent="0.25">
      <c r="A85" s="92" t="s">
        <v>75</v>
      </c>
      <c r="B85" s="93" t="s">
        <v>134</v>
      </c>
      <c r="C85" s="94">
        <v>72000</v>
      </c>
      <c r="D85" s="94"/>
      <c r="E85" s="94"/>
      <c r="F85" s="94">
        <f>D85*E85*$C85</f>
        <v>0</v>
      </c>
      <c r="G85" s="94">
        <f>G84</f>
        <v>0</v>
      </c>
      <c r="H85" s="94"/>
      <c r="I85" s="94">
        <f>G85*H85*$C85</f>
        <v>0</v>
      </c>
      <c r="J85" s="94"/>
      <c r="K85" s="94"/>
      <c r="L85" s="94">
        <f>J85*K85*$C85</f>
        <v>0</v>
      </c>
      <c r="M85" s="94"/>
      <c r="N85" s="94"/>
      <c r="O85" s="94">
        <f>M85*N85*$C85</f>
        <v>0</v>
      </c>
      <c r="P85" s="94"/>
      <c r="Q85" s="94"/>
      <c r="R85" s="94">
        <f>P85*Q85*$C85</f>
        <v>0</v>
      </c>
      <c r="S85" s="94">
        <f>F85+I85+L85+O85+R85</f>
        <v>0</v>
      </c>
      <c r="T85" s="100"/>
    </row>
    <row r="86" spans="1:21" hidden="1" x14ac:dyDescent="0.25">
      <c r="A86" s="92" t="s">
        <v>75</v>
      </c>
      <c r="B86" s="93" t="s">
        <v>205</v>
      </c>
      <c r="C86" s="94">
        <v>327600</v>
      </c>
      <c r="D86" s="94"/>
      <c r="E86" s="94"/>
      <c r="F86" s="94">
        <f>D86*E86*$C86</f>
        <v>0</v>
      </c>
      <c r="G86" s="94">
        <f>G84</f>
        <v>0</v>
      </c>
      <c r="H86" s="94"/>
      <c r="I86" s="94">
        <f>G86*H86*$C86</f>
        <v>0</v>
      </c>
      <c r="J86" s="94"/>
      <c r="K86" s="94"/>
      <c r="L86" s="94">
        <f>J86*K86*$C86</f>
        <v>0</v>
      </c>
      <c r="M86" s="94"/>
      <c r="N86" s="94"/>
      <c r="O86" s="94">
        <f>M86*N86*$C86</f>
        <v>0</v>
      </c>
      <c r="P86" s="94"/>
      <c r="Q86" s="94"/>
      <c r="R86" s="94">
        <f>P86*Q86*$C86</f>
        <v>0</v>
      </c>
      <c r="S86" s="94">
        <f>F86+I86+L86+O86+R86</f>
        <v>0</v>
      </c>
      <c r="T86" s="100"/>
    </row>
    <row r="87" spans="1:21" s="98" customFormat="1" hidden="1" x14ac:dyDescent="0.25">
      <c r="A87" s="92" t="s">
        <v>75</v>
      </c>
      <c r="B87" s="93" t="s">
        <v>199</v>
      </c>
      <c r="C87" s="97">
        <v>20000</v>
      </c>
      <c r="D87" s="97"/>
      <c r="E87" s="97"/>
      <c r="F87" s="97">
        <f>D87*E87*$C87</f>
        <v>0</v>
      </c>
      <c r="G87" s="97">
        <f>G84</f>
        <v>0</v>
      </c>
      <c r="H87" s="97"/>
      <c r="I87" s="97">
        <f>G87*H87*$C87</f>
        <v>0</v>
      </c>
      <c r="J87" s="97"/>
      <c r="K87" s="97"/>
      <c r="L87" s="97">
        <f>J87*K87*$C87</f>
        <v>0</v>
      </c>
      <c r="M87" s="97"/>
      <c r="N87" s="97"/>
      <c r="O87" s="97">
        <f>M87*N87*$C87</f>
        <v>0</v>
      </c>
      <c r="P87" s="97"/>
      <c r="Q87" s="97"/>
      <c r="R87" s="97">
        <f>P87*Q87*$C87</f>
        <v>0</v>
      </c>
      <c r="S87" s="97">
        <f>F87+I87+L87+O87+R87</f>
        <v>0</v>
      </c>
      <c r="T87" s="102"/>
    </row>
    <row r="88" spans="1:21" s="88" customFormat="1" ht="50.25" customHeight="1" x14ac:dyDescent="0.25">
      <c r="A88" s="84" t="s">
        <v>295</v>
      </c>
      <c r="B88" s="85" t="s">
        <v>284</v>
      </c>
      <c r="C88" s="86"/>
      <c r="D88" s="86"/>
      <c r="E88" s="86"/>
      <c r="F88" s="86">
        <f>SUBTOTAL(9,F89:F95)</f>
        <v>42174000</v>
      </c>
      <c r="G88" s="86"/>
      <c r="H88" s="86"/>
      <c r="I88" s="86">
        <f>SUBTOTAL(9,I89:I95)</f>
        <v>46569600</v>
      </c>
      <c r="J88" s="86"/>
      <c r="K88" s="86"/>
      <c r="L88" s="86">
        <f>SUBTOTAL(9,L89:L95)</f>
        <v>46569600</v>
      </c>
      <c r="M88" s="86"/>
      <c r="N88" s="86"/>
      <c r="O88" s="86">
        <f>SUBTOTAL(9,O89:O95)</f>
        <v>46569600</v>
      </c>
      <c r="P88" s="86"/>
      <c r="Q88" s="86"/>
      <c r="R88" s="86">
        <f>SUBTOTAL(9,R89:R95)</f>
        <v>46569600</v>
      </c>
      <c r="S88" s="86">
        <f>SUBTOTAL(9,S89:S95)</f>
        <v>228452400</v>
      </c>
      <c r="T88" s="168" t="s">
        <v>366</v>
      </c>
      <c r="U88" s="83"/>
    </row>
    <row r="89" spans="1:21" s="88" customFormat="1" ht="18" customHeight="1" x14ac:dyDescent="0.25">
      <c r="A89" s="84">
        <v>1</v>
      </c>
      <c r="B89" s="120" t="s">
        <v>321</v>
      </c>
      <c r="C89" s="86"/>
      <c r="D89" s="86">
        <v>28</v>
      </c>
      <c r="E89" s="86"/>
      <c r="F89" s="86">
        <f>SUBTOTAL(9,F90:F91)</f>
        <v>24192000</v>
      </c>
      <c r="G89" s="86">
        <f>D89</f>
        <v>28</v>
      </c>
      <c r="H89" s="86"/>
      <c r="I89" s="86">
        <f>SUBTOTAL(9,I90:I91)</f>
        <v>24192000</v>
      </c>
      <c r="J89" s="86">
        <f>D89</f>
        <v>28</v>
      </c>
      <c r="K89" s="86"/>
      <c r="L89" s="86">
        <f>SUBTOTAL(9,L90:L91)</f>
        <v>24192000</v>
      </c>
      <c r="M89" s="86">
        <f>D89</f>
        <v>28</v>
      </c>
      <c r="N89" s="86"/>
      <c r="O89" s="86">
        <f>SUBTOTAL(9,O90:O91)</f>
        <v>24192000</v>
      </c>
      <c r="P89" s="86">
        <f>D89</f>
        <v>28</v>
      </c>
      <c r="Q89" s="86"/>
      <c r="R89" s="86">
        <f>SUBTOTAL(9,R90:R91)</f>
        <v>24192000</v>
      </c>
      <c r="S89" s="86">
        <f>SUBTOTAL(9,S90:S91)</f>
        <v>120960000</v>
      </c>
      <c r="T89" s="169"/>
    </row>
    <row r="90" spans="1:21" x14ac:dyDescent="0.25">
      <c r="A90" s="92" t="s">
        <v>75</v>
      </c>
      <c r="B90" s="93" t="s">
        <v>134</v>
      </c>
      <c r="C90" s="94"/>
      <c r="D90" s="94"/>
      <c r="E90" s="94"/>
      <c r="F90" s="94"/>
      <c r="G90" s="94"/>
      <c r="H90" s="94"/>
      <c r="I90" s="94"/>
      <c r="J90" s="94"/>
      <c r="K90" s="94"/>
      <c r="L90" s="94"/>
      <c r="M90" s="94"/>
      <c r="N90" s="94"/>
      <c r="O90" s="94"/>
      <c r="P90" s="94"/>
      <c r="Q90" s="94"/>
      <c r="R90" s="94"/>
      <c r="S90" s="94"/>
      <c r="T90" s="169"/>
    </row>
    <row r="91" spans="1:21" x14ac:dyDescent="0.25">
      <c r="A91" s="92" t="s">
        <v>75</v>
      </c>
      <c r="B91" s="93" t="s">
        <v>292</v>
      </c>
      <c r="C91" s="94">
        <v>72000</v>
      </c>
      <c r="D91" s="94">
        <f>D89</f>
        <v>28</v>
      </c>
      <c r="E91" s="94">
        <v>12</v>
      </c>
      <c r="F91" s="94">
        <f>D91*E91*$C91</f>
        <v>24192000</v>
      </c>
      <c r="G91" s="94">
        <f>D89</f>
        <v>28</v>
      </c>
      <c r="H91" s="94">
        <f>E91</f>
        <v>12</v>
      </c>
      <c r="I91" s="94">
        <f>G91*H91*$C91</f>
        <v>24192000</v>
      </c>
      <c r="J91" s="94">
        <f>G89</f>
        <v>28</v>
      </c>
      <c r="K91" s="94">
        <f>E91</f>
        <v>12</v>
      </c>
      <c r="L91" s="94">
        <f>J91*K91*$C91</f>
        <v>24192000</v>
      </c>
      <c r="M91" s="94">
        <f>J89</f>
        <v>28</v>
      </c>
      <c r="N91" s="94">
        <f>E91</f>
        <v>12</v>
      </c>
      <c r="O91" s="94">
        <f>M91*N91*$C91</f>
        <v>24192000</v>
      </c>
      <c r="P91" s="94">
        <f>M89</f>
        <v>28</v>
      </c>
      <c r="Q91" s="94">
        <f>E91</f>
        <v>12</v>
      </c>
      <c r="R91" s="94">
        <f>P91*Q91*$C91</f>
        <v>24192000</v>
      </c>
      <c r="S91" s="94">
        <f>F91+I91+L91+O91+R91</f>
        <v>120960000</v>
      </c>
      <c r="T91" s="169"/>
    </row>
    <row r="92" spans="1:21" s="88" customFormat="1" ht="81" customHeight="1" x14ac:dyDescent="0.25">
      <c r="A92" s="84">
        <v>2</v>
      </c>
      <c r="B92" s="116" t="s">
        <v>348</v>
      </c>
      <c r="C92" s="86"/>
      <c r="D92" s="86">
        <f>D93</f>
        <v>15</v>
      </c>
      <c r="E92" s="86"/>
      <c r="F92" s="86">
        <f>SUBTOTAL(9,F93:F95)</f>
        <v>17982000</v>
      </c>
      <c r="G92" s="86">
        <f>G93</f>
        <v>28</v>
      </c>
      <c r="H92" s="86"/>
      <c r="I92" s="86">
        <f>SUBTOTAL(9,I93:I95)</f>
        <v>22377600</v>
      </c>
      <c r="J92" s="86">
        <f>J93</f>
        <v>28</v>
      </c>
      <c r="K92" s="86"/>
      <c r="L92" s="86">
        <f>SUBTOTAL(9,L93:L95)</f>
        <v>22377600</v>
      </c>
      <c r="M92" s="86">
        <f>M93</f>
        <v>28</v>
      </c>
      <c r="N92" s="86"/>
      <c r="O92" s="86">
        <f>SUBTOTAL(9,O93:O95)</f>
        <v>22377600</v>
      </c>
      <c r="P92" s="86">
        <f>P93</f>
        <v>28</v>
      </c>
      <c r="Q92" s="86"/>
      <c r="R92" s="86">
        <f>SUBTOTAL(9,R93:R95)</f>
        <v>22377600</v>
      </c>
      <c r="S92" s="86">
        <f>SUBTOTAL(9,S93:S95)</f>
        <v>107492400</v>
      </c>
      <c r="T92" s="169"/>
    </row>
    <row r="93" spans="1:21" ht="28.5" customHeight="1" x14ac:dyDescent="0.25">
      <c r="A93" s="92" t="s">
        <v>75</v>
      </c>
      <c r="B93" s="93" t="s">
        <v>134</v>
      </c>
      <c r="C93" s="94">
        <v>72000</v>
      </c>
      <c r="D93" s="94">
        <v>15</v>
      </c>
      <c r="E93" s="94">
        <v>3</v>
      </c>
      <c r="F93" s="94">
        <f>D93*E93*$C93</f>
        <v>3240000</v>
      </c>
      <c r="G93" s="94">
        <v>28</v>
      </c>
      <c r="H93" s="94">
        <v>2</v>
      </c>
      <c r="I93" s="94">
        <f>G93*H93*$C93</f>
        <v>4032000</v>
      </c>
      <c r="J93" s="94">
        <f>G93</f>
        <v>28</v>
      </c>
      <c r="K93" s="94">
        <v>2</v>
      </c>
      <c r="L93" s="94">
        <f>J93*K93*$C93</f>
        <v>4032000</v>
      </c>
      <c r="M93" s="94">
        <f>G93</f>
        <v>28</v>
      </c>
      <c r="N93" s="94">
        <v>2</v>
      </c>
      <c r="O93" s="94">
        <f>M93*N93*$C93</f>
        <v>4032000</v>
      </c>
      <c r="P93" s="94">
        <f>M93</f>
        <v>28</v>
      </c>
      <c r="Q93" s="94">
        <v>2</v>
      </c>
      <c r="R93" s="94">
        <f>P93*Q93*$C93</f>
        <v>4032000</v>
      </c>
      <c r="S93" s="94">
        <f>F93+I93+L93+O93+R93</f>
        <v>19368000</v>
      </c>
      <c r="T93" s="169"/>
    </row>
    <row r="94" spans="1:21" ht="28.5" customHeight="1" x14ac:dyDescent="0.25">
      <c r="A94" s="92" t="s">
        <v>75</v>
      </c>
      <c r="B94" s="93" t="s">
        <v>292</v>
      </c>
      <c r="C94" s="94">
        <v>72000</v>
      </c>
      <c r="D94" s="94"/>
      <c r="E94" s="94"/>
      <c r="F94" s="94">
        <f>D94*E94*$C94</f>
        <v>0</v>
      </c>
      <c r="G94" s="94"/>
      <c r="H94" s="94"/>
      <c r="I94" s="94">
        <f>G94*H94*$C94</f>
        <v>0</v>
      </c>
      <c r="J94" s="94"/>
      <c r="K94" s="94"/>
      <c r="L94" s="94">
        <f>J94*K94*$C94</f>
        <v>0</v>
      </c>
      <c r="M94" s="94"/>
      <c r="N94" s="94"/>
      <c r="O94" s="94">
        <f>M94*N94*$C94</f>
        <v>0</v>
      </c>
      <c r="P94" s="94"/>
      <c r="Q94" s="94"/>
      <c r="R94" s="94">
        <f>P94*Q94*$C94</f>
        <v>0</v>
      </c>
      <c r="S94" s="94">
        <f>F94+I94+L94+O94+R94</f>
        <v>0</v>
      </c>
      <c r="T94" s="169"/>
    </row>
    <row r="95" spans="1:21" ht="28.5" customHeight="1" x14ac:dyDescent="0.25">
      <c r="A95" s="92" t="s">
        <v>75</v>
      </c>
      <c r="B95" s="93" t="s">
        <v>205</v>
      </c>
      <c r="C95" s="94">
        <v>327600</v>
      </c>
      <c r="D95" s="94">
        <f>D93</f>
        <v>15</v>
      </c>
      <c r="E95" s="94">
        <v>3</v>
      </c>
      <c r="F95" s="94">
        <f>D95*E95*$C95</f>
        <v>14742000</v>
      </c>
      <c r="G95" s="94">
        <f>G93</f>
        <v>28</v>
      </c>
      <c r="H95" s="94">
        <v>2</v>
      </c>
      <c r="I95" s="94">
        <f>G95*H95*$C95</f>
        <v>18345600</v>
      </c>
      <c r="J95" s="94">
        <f>J93</f>
        <v>28</v>
      </c>
      <c r="K95" s="94">
        <v>2</v>
      </c>
      <c r="L95" s="94">
        <f>J95*K95*$C95</f>
        <v>18345600</v>
      </c>
      <c r="M95" s="94">
        <f>M93</f>
        <v>28</v>
      </c>
      <c r="N95" s="94">
        <v>2</v>
      </c>
      <c r="O95" s="94">
        <f>M95*N95*$C95</f>
        <v>18345600</v>
      </c>
      <c r="P95" s="94">
        <f>P93</f>
        <v>28</v>
      </c>
      <c r="Q95" s="94">
        <v>2</v>
      </c>
      <c r="R95" s="94">
        <f>P95*Q95*$C95</f>
        <v>18345600</v>
      </c>
      <c r="S95" s="94">
        <f>F95+I95+L95+O95+R95</f>
        <v>88124400</v>
      </c>
      <c r="T95" s="170"/>
    </row>
  </sheetData>
  <mergeCells count="14">
    <mergeCell ref="T88:T95"/>
    <mergeCell ref="C4:C5"/>
    <mergeCell ref="A1:S1"/>
    <mergeCell ref="A2:S2"/>
    <mergeCell ref="A3:S3"/>
    <mergeCell ref="A4:A5"/>
    <mergeCell ref="B4:B5"/>
    <mergeCell ref="D4:F4"/>
    <mergeCell ref="G4:I4"/>
    <mergeCell ref="J4:L4"/>
    <mergeCell ref="M4:O4"/>
    <mergeCell ref="P4:R4"/>
    <mergeCell ref="S4:S5"/>
    <mergeCell ref="T4:T5"/>
  </mergeCells>
  <pageMargins left="0.52" right="0.15748031496062992" top="0.74803149606299213" bottom="0.74803149606299213" header="0.31496062992125984" footer="0.31496062992125984"/>
  <pageSetup paperSize="9" scale="58" orientation="landscape" r:id="rId1"/>
  <headerFooter differentFirst="1">
    <oddHeader>&amp;C&amp;P</oddHead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C50C7-C5ED-4CAB-93D0-BC232138EB04}">
  <dimension ref="A1:AA37"/>
  <sheetViews>
    <sheetView workbookViewId="0">
      <selection activeCell="L13" sqref="L13"/>
    </sheetView>
  </sheetViews>
  <sheetFormatPr defaultColWidth="9.140625" defaultRowHeight="15" outlineLevelCol="1" x14ac:dyDescent="0.25"/>
  <cols>
    <col min="1" max="1" width="5" style="103" bestFit="1" customWidth="1"/>
    <col min="2" max="2" width="21.85546875" style="104" customWidth="1"/>
    <col min="3" max="3" width="9.85546875" style="96" customWidth="1"/>
    <col min="4" max="4" width="8.5703125" style="96" customWidth="1"/>
    <col min="5" max="5" width="6.42578125" style="96" customWidth="1"/>
    <col min="6" max="6" width="16.7109375" style="96" customWidth="1"/>
    <col min="7" max="7" width="8.7109375" style="96" customWidth="1"/>
    <col min="8" max="8" width="6.5703125" style="96" customWidth="1"/>
    <col min="9" max="9" width="17.140625" style="96" customWidth="1"/>
    <col min="10" max="10" width="8.28515625" style="96" customWidth="1"/>
    <col min="11" max="11" width="6.28515625" style="96" bestFit="1" customWidth="1"/>
    <col min="12" max="12" width="16.140625" style="96" customWidth="1"/>
    <col min="13" max="13" width="8.42578125" style="96" customWidth="1"/>
    <col min="14" max="14" width="7.42578125" style="96" customWidth="1"/>
    <col min="15" max="15" width="16.140625" style="96" customWidth="1"/>
    <col min="16" max="16" width="8.7109375" style="96" customWidth="1"/>
    <col min="17" max="17" width="6.42578125" style="96" customWidth="1"/>
    <col min="18" max="18" width="17.42578125" style="96" customWidth="1"/>
    <col min="19" max="19" width="18.28515625" style="96" customWidth="1"/>
    <col min="20" max="20" width="23.5703125" style="96" customWidth="1" outlineLevel="1"/>
    <col min="21" max="21" width="18.42578125" style="96" bestFit="1" customWidth="1"/>
    <col min="22" max="16384" width="9.140625" style="96"/>
  </cols>
  <sheetData>
    <row r="1" spans="1:27" s="2" customFormat="1" ht="18.75" x14ac:dyDescent="0.3">
      <c r="A1" s="173" t="s">
        <v>371</v>
      </c>
      <c r="B1" s="173"/>
      <c r="C1" s="173"/>
      <c r="D1" s="173"/>
      <c r="E1" s="173"/>
      <c r="F1" s="173"/>
      <c r="G1" s="173"/>
      <c r="H1" s="173"/>
      <c r="I1" s="173"/>
      <c r="J1" s="173"/>
      <c r="K1" s="173"/>
      <c r="L1" s="173"/>
      <c r="M1" s="173"/>
      <c r="N1" s="173"/>
      <c r="O1" s="173"/>
      <c r="P1" s="173"/>
      <c r="Q1" s="173"/>
      <c r="R1" s="173"/>
      <c r="S1" s="173"/>
      <c r="T1" s="8"/>
      <c r="U1" s="8"/>
      <c r="V1" s="8"/>
      <c r="W1" s="8"/>
      <c r="X1" s="8"/>
      <c r="Y1" s="8"/>
      <c r="Z1" s="8"/>
      <c r="AA1" s="8"/>
    </row>
    <row r="2" spans="1:27" s="2" customFormat="1" ht="78" customHeight="1" x14ac:dyDescent="0.3">
      <c r="A2" s="174" t="s">
        <v>361</v>
      </c>
      <c r="B2" s="173"/>
      <c r="C2" s="173"/>
      <c r="D2" s="173"/>
      <c r="E2" s="173"/>
      <c r="F2" s="173"/>
      <c r="G2" s="173"/>
      <c r="H2" s="173"/>
      <c r="I2" s="173"/>
      <c r="J2" s="173"/>
      <c r="K2" s="173"/>
      <c r="L2" s="173"/>
      <c r="M2" s="173"/>
      <c r="N2" s="173"/>
      <c r="O2" s="173"/>
      <c r="P2" s="173"/>
      <c r="Q2" s="173"/>
      <c r="R2" s="173"/>
      <c r="S2" s="173"/>
      <c r="T2" s="8"/>
      <c r="U2" s="8"/>
      <c r="V2" s="8"/>
      <c r="W2" s="8"/>
      <c r="X2" s="8"/>
      <c r="Y2" s="8"/>
      <c r="Z2" s="8"/>
      <c r="AA2" s="8"/>
    </row>
    <row r="3" spans="1:27" s="3" customFormat="1" ht="18.75" x14ac:dyDescent="0.3">
      <c r="A3" s="175"/>
      <c r="B3" s="175"/>
      <c r="C3" s="175"/>
      <c r="D3" s="175"/>
      <c r="E3" s="175"/>
      <c r="F3" s="175"/>
      <c r="G3" s="175"/>
      <c r="H3" s="175"/>
      <c r="I3" s="175"/>
      <c r="J3" s="175"/>
      <c r="K3" s="175"/>
      <c r="L3" s="175"/>
      <c r="M3" s="175"/>
      <c r="N3" s="175"/>
      <c r="O3" s="175"/>
      <c r="P3" s="175"/>
      <c r="Q3" s="175"/>
      <c r="R3" s="175"/>
      <c r="S3" s="175"/>
      <c r="T3" s="13"/>
      <c r="U3" s="13"/>
      <c r="V3" s="13"/>
      <c r="W3" s="13"/>
      <c r="X3" s="13"/>
      <c r="Y3" s="13"/>
      <c r="Z3" s="13"/>
      <c r="AA3" s="13"/>
    </row>
    <row r="4" spans="1:27" s="10" customFormat="1" ht="18.75" x14ac:dyDescent="0.25">
      <c r="A4" s="176" t="s">
        <v>28</v>
      </c>
      <c r="B4" s="177" t="s">
        <v>118</v>
      </c>
      <c r="C4" s="171" t="s">
        <v>203</v>
      </c>
      <c r="D4" s="176" t="s">
        <v>235</v>
      </c>
      <c r="E4" s="176"/>
      <c r="F4" s="176"/>
      <c r="G4" s="176" t="s">
        <v>236</v>
      </c>
      <c r="H4" s="176"/>
      <c r="I4" s="176"/>
      <c r="J4" s="176" t="s">
        <v>237</v>
      </c>
      <c r="K4" s="176"/>
      <c r="L4" s="176"/>
      <c r="M4" s="176" t="s">
        <v>238</v>
      </c>
      <c r="N4" s="176"/>
      <c r="O4" s="176"/>
      <c r="P4" s="176" t="s">
        <v>239</v>
      </c>
      <c r="Q4" s="176"/>
      <c r="R4" s="176"/>
      <c r="S4" s="177" t="s">
        <v>34</v>
      </c>
      <c r="T4" s="178" t="s">
        <v>150</v>
      </c>
    </row>
    <row r="5" spans="1:27" s="10" customFormat="1" ht="69.75" customHeight="1" x14ac:dyDescent="0.25">
      <c r="A5" s="176"/>
      <c r="B5" s="176"/>
      <c r="C5" s="172"/>
      <c r="D5" s="5" t="s">
        <v>120</v>
      </c>
      <c r="E5" s="5" t="s">
        <v>146</v>
      </c>
      <c r="F5" s="5" t="s">
        <v>33</v>
      </c>
      <c r="G5" s="5" t="s">
        <v>120</v>
      </c>
      <c r="H5" s="5" t="s">
        <v>301</v>
      </c>
      <c r="I5" s="5" t="s">
        <v>33</v>
      </c>
      <c r="J5" s="5" t="s">
        <v>120</v>
      </c>
      <c r="K5" s="5" t="s">
        <v>301</v>
      </c>
      <c r="L5" s="5" t="s">
        <v>33</v>
      </c>
      <c r="M5" s="5" t="s">
        <v>120</v>
      </c>
      <c r="N5" s="5" t="s">
        <v>301</v>
      </c>
      <c r="O5" s="5" t="s">
        <v>33</v>
      </c>
      <c r="P5" s="5" t="s">
        <v>120</v>
      </c>
      <c r="Q5" s="5" t="s">
        <v>301</v>
      </c>
      <c r="R5" s="5" t="s">
        <v>33</v>
      </c>
      <c r="S5" s="176"/>
      <c r="T5" s="178"/>
    </row>
    <row r="6" spans="1:27" s="10" customFormat="1" ht="18.75" x14ac:dyDescent="0.25">
      <c r="A6" s="6" t="s">
        <v>117</v>
      </c>
      <c r="B6" s="6" t="s">
        <v>296</v>
      </c>
      <c r="C6" s="82"/>
      <c r="D6" s="51">
        <f>D8+D11+D14+D17+D20+D23+D26+D29+D32+D35</f>
        <v>812</v>
      </c>
      <c r="E6" s="51">
        <f>SUBTOTAL(9,E7:E37)</f>
        <v>218</v>
      </c>
      <c r="F6" s="51">
        <f>SUBTOTAL(9,F7:F37)</f>
        <v>4070001600</v>
      </c>
      <c r="G6" s="51">
        <f>D6</f>
        <v>812</v>
      </c>
      <c r="H6" s="51">
        <f>SUBTOTAL(9,H7:H37)</f>
        <v>218</v>
      </c>
      <c r="I6" s="51">
        <f>SUBTOTAL(9,I7:I37)</f>
        <v>2721351600</v>
      </c>
      <c r="J6" s="51">
        <f>D6</f>
        <v>812</v>
      </c>
      <c r="K6" s="51">
        <f>SUBTOTAL(9,K7:K37)</f>
        <v>218</v>
      </c>
      <c r="L6" s="51">
        <f>SUBTOTAL(9,L7:L37)</f>
        <v>2721351600</v>
      </c>
      <c r="M6" s="51">
        <f>D6</f>
        <v>812</v>
      </c>
      <c r="N6" s="51">
        <f>SUBTOTAL(9,N7:N37)</f>
        <v>218</v>
      </c>
      <c r="O6" s="51">
        <f>SUBTOTAL(9,O7:O37)</f>
        <v>2721351600</v>
      </c>
      <c r="P6" s="51">
        <f>D6</f>
        <v>812</v>
      </c>
      <c r="Q6" s="51">
        <f>SUBTOTAL(9,Q7:Q37)</f>
        <v>218</v>
      </c>
      <c r="R6" s="51">
        <f>SUBTOTAL(9,R7:R37)</f>
        <v>2721351600</v>
      </c>
      <c r="S6" s="51">
        <f>SUBTOTAL(9,S7:S37)</f>
        <v>14955408000</v>
      </c>
      <c r="T6" s="11"/>
      <c r="U6" s="83"/>
    </row>
    <row r="7" spans="1:27" s="88" customFormat="1" ht="14.25" x14ac:dyDescent="0.25">
      <c r="A7" s="84" t="s">
        <v>216</v>
      </c>
      <c r="B7" s="85" t="s">
        <v>288</v>
      </c>
      <c r="C7" s="86"/>
      <c r="D7" s="86"/>
      <c r="E7" s="86"/>
      <c r="F7" s="86">
        <f>SUBTOTAL(9,F8:F13)</f>
        <v>277722000</v>
      </c>
      <c r="G7" s="86"/>
      <c r="H7" s="86"/>
      <c r="I7" s="86">
        <f>SUBTOTAL(9,I8:I13)</f>
        <v>277722000</v>
      </c>
      <c r="J7" s="86"/>
      <c r="K7" s="86"/>
      <c r="L7" s="86">
        <f>SUBTOTAL(9,L8:L13)</f>
        <v>277722000</v>
      </c>
      <c r="M7" s="86"/>
      <c r="N7" s="86"/>
      <c r="O7" s="86">
        <f>SUBTOTAL(9,O8:O13)</f>
        <v>277722000</v>
      </c>
      <c r="P7" s="86"/>
      <c r="Q7" s="86"/>
      <c r="R7" s="86">
        <f>SUBTOTAL(9,R8:R13)</f>
        <v>277722000</v>
      </c>
      <c r="S7" s="86">
        <f>SUBTOTAL(9,S8:S13)</f>
        <v>1388610000</v>
      </c>
      <c r="T7" s="87"/>
      <c r="U7" s="83"/>
    </row>
    <row r="8" spans="1:27" s="88" customFormat="1" ht="30" x14ac:dyDescent="0.25">
      <c r="A8" s="84" t="s">
        <v>35</v>
      </c>
      <c r="B8" s="89" t="s">
        <v>330</v>
      </c>
      <c r="C8" s="86"/>
      <c r="D8" s="86">
        <v>25</v>
      </c>
      <c r="E8" s="86"/>
      <c r="F8" s="86">
        <f>SUBTOTAL(9,F9:F10)</f>
        <v>49950000</v>
      </c>
      <c r="G8" s="86">
        <f>D8</f>
        <v>25</v>
      </c>
      <c r="H8" s="86"/>
      <c r="I8" s="86">
        <f>SUBTOTAL(9,I9:I10)</f>
        <v>49950000</v>
      </c>
      <c r="J8" s="86">
        <f>D8</f>
        <v>25</v>
      </c>
      <c r="K8" s="86"/>
      <c r="L8" s="86">
        <f>SUBTOTAL(9,L9:L10)</f>
        <v>49950000</v>
      </c>
      <c r="M8" s="86">
        <f>D8</f>
        <v>25</v>
      </c>
      <c r="N8" s="86"/>
      <c r="O8" s="86">
        <f>SUBTOTAL(9,O9:O10)</f>
        <v>49950000</v>
      </c>
      <c r="P8" s="86">
        <f>D8</f>
        <v>25</v>
      </c>
      <c r="Q8" s="86"/>
      <c r="R8" s="86">
        <f>SUBTOTAL(9,R9:R10)</f>
        <v>49950000</v>
      </c>
      <c r="S8" s="86">
        <f>SUBTOTAL(9,S9:S10)</f>
        <v>249750000</v>
      </c>
      <c r="T8" s="137" t="s">
        <v>309</v>
      </c>
    </row>
    <row r="9" spans="1:27" x14ac:dyDescent="0.25">
      <c r="A9" s="92">
        <v>1</v>
      </c>
      <c r="B9" s="93" t="s">
        <v>134</v>
      </c>
      <c r="C9" s="94">
        <v>72000</v>
      </c>
      <c r="D9" s="94">
        <f>D8</f>
        <v>25</v>
      </c>
      <c r="E9" s="94">
        <v>5</v>
      </c>
      <c r="F9" s="94">
        <f>D9*E9*$C9</f>
        <v>9000000</v>
      </c>
      <c r="G9" s="94">
        <f>G8</f>
        <v>25</v>
      </c>
      <c r="H9" s="94">
        <v>5</v>
      </c>
      <c r="I9" s="94">
        <f>G9*H9*$C9</f>
        <v>9000000</v>
      </c>
      <c r="J9" s="94">
        <f>J8</f>
        <v>25</v>
      </c>
      <c r="K9" s="94">
        <v>5</v>
      </c>
      <c r="L9" s="94">
        <f>J9*K9*$C9</f>
        <v>9000000</v>
      </c>
      <c r="M9" s="94">
        <f>M8</f>
        <v>25</v>
      </c>
      <c r="N9" s="94">
        <v>5</v>
      </c>
      <c r="O9" s="94">
        <f>M9*N9*$C9</f>
        <v>9000000</v>
      </c>
      <c r="P9" s="94">
        <f>P8</f>
        <v>25</v>
      </c>
      <c r="Q9" s="94">
        <v>5</v>
      </c>
      <c r="R9" s="94">
        <f>P9*Q9*$C9</f>
        <v>9000000</v>
      </c>
      <c r="S9" s="94">
        <f>F9+I9+L9+O9+R9</f>
        <v>45000000</v>
      </c>
      <c r="T9" s="95"/>
    </row>
    <row r="10" spans="1:27" x14ac:dyDescent="0.25">
      <c r="A10" s="92">
        <v>2</v>
      </c>
      <c r="B10" s="93" t="s">
        <v>205</v>
      </c>
      <c r="C10" s="94">
        <v>327600</v>
      </c>
      <c r="D10" s="94">
        <f>D9</f>
        <v>25</v>
      </c>
      <c r="E10" s="94">
        <v>5</v>
      </c>
      <c r="F10" s="94">
        <f>D10*E10*$C10</f>
        <v>40950000</v>
      </c>
      <c r="G10" s="94">
        <f>G9</f>
        <v>25</v>
      </c>
      <c r="H10" s="94">
        <v>5</v>
      </c>
      <c r="I10" s="94">
        <f>G10*H10*$C10</f>
        <v>40950000</v>
      </c>
      <c r="J10" s="94">
        <f>J9</f>
        <v>25</v>
      </c>
      <c r="K10" s="94">
        <v>5</v>
      </c>
      <c r="L10" s="94">
        <f>J10*K10*$C10</f>
        <v>40950000</v>
      </c>
      <c r="M10" s="94">
        <f>M9</f>
        <v>25</v>
      </c>
      <c r="N10" s="94">
        <v>5</v>
      </c>
      <c r="O10" s="94">
        <f>M10*N10*$C10</f>
        <v>40950000</v>
      </c>
      <c r="P10" s="94">
        <f>P9</f>
        <v>25</v>
      </c>
      <c r="Q10" s="94">
        <v>5</v>
      </c>
      <c r="R10" s="94">
        <f>P10*Q10*$C10</f>
        <v>40950000</v>
      </c>
      <c r="S10" s="94">
        <f>F10+I10+L10+O10+R10</f>
        <v>204750000</v>
      </c>
      <c r="T10" s="95"/>
    </row>
    <row r="11" spans="1:27" s="88" customFormat="1" ht="30" x14ac:dyDescent="0.25">
      <c r="A11" s="84" t="s">
        <v>47</v>
      </c>
      <c r="B11" s="116" t="s">
        <v>339</v>
      </c>
      <c r="C11" s="86"/>
      <c r="D11" s="86">
        <v>114</v>
      </c>
      <c r="E11" s="86"/>
      <c r="F11" s="86">
        <f>SUBTOTAL(9,F12:F13)</f>
        <v>227772000</v>
      </c>
      <c r="G11" s="86">
        <f>D11</f>
        <v>114</v>
      </c>
      <c r="H11" s="86"/>
      <c r="I11" s="86">
        <f>SUBTOTAL(9,I12:I13)</f>
        <v>227772000</v>
      </c>
      <c r="J11" s="86">
        <f>D11</f>
        <v>114</v>
      </c>
      <c r="K11" s="86"/>
      <c r="L11" s="86">
        <f>SUBTOTAL(9,L12:L13)</f>
        <v>227772000</v>
      </c>
      <c r="M11" s="86">
        <f>D11</f>
        <v>114</v>
      </c>
      <c r="N11" s="86"/>
      <c r="O11" s="86">
        <f>SUBTOTAL(9,O12:O13)</f>
        <v>227772000</v>
      </c>
      <c r="P11" s="86">
        <f>D11</f>
        <v>114</v>
      </c>
      <c r="Q11" s="86"/>
      <c r="R11" s="86">
        <f>SUBTOTAL(9,R12:R13)</f>
        <v>227772000</v>
      </c>
      <c r="S11" s="86">
        <f>SUBTOTAL(9,S12:S13)</f>
        <v>1138860000</v>
      </c>
      <c r="T11" s="136" t="s">
        <v>308</v>
      </c>
    </row>
    <row r="12" spans="1:27" x14ac:dyDescent="0.25">
      <c r="A12" s="92">
        <v>1</v>
      </c>
      <c r="B12" s="93" t="s">
        <v>134</v>
      </c>
      <c r="C12" s="94">
        <v>72000</v>
      </c>
      <c r="D12" s="94">
        <f>D11</f>
        <v>114</v>
      </c>
      <c r="E12" s="94">
        <v>5</v>
      </c>
      <c r="F12" s="94">
        <f>D12*E12*$C12</f>
        <v>41040000</v>
      </c>
      <c r="G12" s="94">
        <f>G11</f>
        <v>114</v>
      </c>
      <c r="H12" s="94">
        <v>5</v>
      </c>
      <c r="I12" s="94">
        <f>G12*H12*$C12</f>
        <v>41040000</v>
      </c>
      <c r="J12" s="94">
        <f>J11</f>
        <v>114</v>
      </c>
      <c r="K12" s="94">
        <v>5</v>
      </c>
      <c r="L12" s="94">
        <f>J12*K12*$C12</f>
        <v>41040000</v>
      </c>
      <c r="M12" s="94">
        <f>M11</f>
        <v>114</v>
      </c>
      <c r="N12" s="94">
        <v>5</v>
      </c>
      <c r="O12" s="94">
        <f>M12*N12*$C12</f>
        <v>41040000</v>
      </c>
      <c r="P12" s="94">
        <f>P11</f>
        <v>114</v>
      </c>
      <c r="Q12" s="94">
        <v>5</v>
      </c>
      <c r="R12" s="94">
        <f>P12*Q12*$C12</f>
        <v>41040000</v>
      </c>
      <c r="S12" s="94">
        <f>F12+I12+L12+O12+R12</f>
        <v>205200000</v>
      </c>
      <c r="T12" s="95"/>
    </row>
    <row r="13" spans="1:27" x14ac:dyDescent="0.25">
      <c r="A13" s="92">
        <v>2</v>
      </c>
      <c r="B13" s="93" t="s">
        <v>205</v>
      </c>
      <c r="C13" s="94">
        <v>327600</v>
      </c>
      <c r="D13" s="94">
        <f>D11</f>
        <v>114</v>
      </c>
      <c r="E13" s="94">
        <v>5</v>
      </c>
      <c r="F13" s="94">
        <f>D13*E13*$C13</f>
        <v>186732000</v>
      </c>
      <c r="G13" s="94">
        <f>G11</f>
        <v>114</v>
      </c>
      <c r="H13" s="94">
        <v>5</v>
      </c>
      <c r="I13" s="94">
        <f>G13*H13*$C13</f>
        <v>186732000</v>
      </c>
      <c r="J13" s="94">
        <f>J11</f>
        <v>114</v>
      </c>
      <c r="K13" s="94">
        <v>5</v>
      </c>
      <c r="L13" s="94">
        <f>J13*K13*$C13</f>
        <v>186732000</v>
      </c>
      <c r="M13" s="94">
        <f>M11</f>
        <v>114</v>
      </c>
      <c r="N13" s="94">
        <v>5</v>
      </c>
      <c r="O13" s="94">
        <f>M13*N13*$C13</f>
        <v>186732000</v>
      </c>
      <c r="P13" s="94">
        <f>P11</f>
        <v>114</v>
      </c>
      <c r="Q13" s="94">
        <v>5</v>
      </c>
      <c r="R13" s="94">
        <f>P13*Q13*$C13</f>
        <v>186732000</v>
      </c>
      <c r="S13" s="94">
        <f>F13+I13+L13+O13+R13</f>
        <v>933660000</v>
      </c>
      <c r="T13" s="95"/>
    </row>
    <row r="14" spans="1:27" s="91" customFormat="1" x14ac:dyDescent="0.25">
      <c r="A14" s="84" t="s">
        <v>48</v>
      </c>
      <c r="B14" s="89" t="s">
        <v>136</v>
      </c>
      <c r="C14" s="90"/>
      <c r="D14" s="90">
        <f>'PL1'!Y7</f>
        <v>84</v>
      </c>
      <c r="E14" s="90"/>
      <c r="F14" s="90">
        <f>SUBTOTAL(9,F15:F16)</f>
        <v>402796800</v>
      </c>
      <c r="G14" s="90">
        <f>D14</f>
        <v>84</v>
      </c>
      <c r="H14" s="90"/>
      <c r="I14" s="90">
        <f>SUBTOTAL(9,I15:I16)</f>
        <v>402796800</v>
      </c>
      <c r="J14" s="90">
        <f>D14</f>
        <v>84</v>
      </c>
      <c r="K14" s="90"/>
      <c r="L14" s="90">
        <f>SUBTOTAL(9,L15:L16)</f>
        <v>402796800</v>
      </c>
      <c r="M14" s="90">
        <f>D14</f>
        <v>84</v>
      </c>
      <c r="N14" s="90"/>
      <c r="O14" s="90">
        <f>SUBTOTAL(9,O15:O16)</f>
        <v>402796800</v>
      </c>
      <c r="P14" s="90">
        <f>D14</f>
        <v>84</v>
      </c>
      <c r="Q14" s="90"/>
      <c r="R14" s="90">
        <f>SUBTOTAL(9,R15:R16)</f>
        <v>402796800</v>
      </c>
      <c r="S14" s="90">
        <f>SUBTOTAL(9,S15:S16)</f>
        <v>2013984000</v>
      </c>
      <c r="T14" s="95" t="s">
        <v>149</v>
      </c>
    </row>
    <row r="15" spans="1:27" x14ac:dyDescent="0.25">
      <c r="A15" s="92">
        <v>1</v>
      </c>
      <c r="B15" s="93" t="s">
        <v>134</v>
      </c>
      <c r="C15" s="94">
        <v>72000</v>
      </c>
      <c r="D15" s="94">
        <f>D14</f>
        <v>84</v>
      </c>
      <c r="E15" s="94">
        <v>12</v>
      </c>
      <c r="F15" s="94">
        <f>D15*E15*$C15</f>
        <v>72576000</v>
      </c>
      <c r="G15" s="94">
        <f>G14</f>
        <v>84</v>
      </c>
      <c r="H15" s="94">
        <v>12</v>
      </c>
      <c r="I15" s="94">
        <f>G15*H15*$C15</f>
        <v>72576000</v>
      </c>
      <c r="J15" s="94">
        <f>J14</f>
        <v>84</v>
      </c>
      <c r="K15" s="94">
        <v>12</v>
      </c>
      <c r="L15" s="94">
        <f>J15*K15*$C15</f>
        <v>72576000</v>
      </c>
      <c r="M15" s="94">
        <f>M14</f>
        <v>84</v>
      </c>
      <c r="N15" s="94">
        <v>12</v>
      </c>
      <c r="O15" s="94">
        <f>M15*N15*$C15</f>
        <v>72576000</v>
      </c>
      <c r="P15" s="94">
        <f>P14</f>
        <v>84</v>
      </c>
      <c r="Q15" s="94">
        <v>12</v>
      </c>
      <c r="R15" s="94">
        <f>P15*Q15*$C15</f>
        <v>72576000</v>
      </c>
      <c r="S15" s="94">
        <f t="shared" ref="S15:S34" si="0">F15+I15+L15+O15+R15</f>
        <v>362880000</v>
      </c>
      <c r="T15" s="95"/>
    </row>
    <row r="16" spans="1:27" x14ac:dyDescent="0.25">
      <c r="A16" s="92">
        <v>2</v>
      </c>
      <c r="B16" s="93" t="s">
        <v>205</v>
      </c>
      <c r="C16" s="94">
        <v>327600</v>
      </c>
      <c r="D16" s="94">
        <f>D14</f>
        <v>84</v>
      </c>
      <c r="E16" s="94">
        <v>12</v>
      </c>
      <c r="F16" s="94">
        <f>D16*E16*$C16</f>
        <v>330220800</v>
      </c>
      <c r="G16" s="94">
        <f>G14</f>
        <v>84</v>
      </c>
      <c r="H16" s="94">
        <v>12</v>
      </c>
      <c r="I16" s="94">
        <f>G16*H16*$C16</f>
        <v>330220800</v>
      </c>
      <c r="J16" s="94">
        <f>J14</f>
        <v>84</v>
      </c>
      <c r="K16" s="94">
        <v>12</v>
      </c>
      <c r="L16" s="94">
        <f>J16*K16*$C16</f>
        <v>330220800</v>
      </c>
      <c r="M16" s="94">
        <f>M14</f>
        <v>84</v>
      </c>
      <c r="N16" s="94">
        <v>12</v>
      </c>
      <c r="O16" s="94">
        <f>M16*N16*$C16</f>
        <v>330220800</v>
      </c>
      <c r="P16" s="94">
        <f>P14</f>
        <v>84</v>
      </c>
      <c r="Q16" s="94">
        <v>12</v>
      </c>
      <c r="R16" s="94">
        <f>P16*Q16*$C16</f>
        <v>330220800</v>
      </c>
      <c r="S16" s="94">
        <f t="shared" si="0"/>
        <v>1651104000</v>
      </c>
      <c r="T16" s="95"/>
    </row>
    <row r="17" spans="1:20" s="91" customFormat="1" x14ac:dyDescent="0.25">
      <c r="A17" s="84" t="s">
        <v>50</v>
      </c>
      <c r="B17" s="89" t="s">
        <v>137</v>
      </c>
      <c r="C17" s="90"/>
      <c r="D17" s="90">
        <f>'PL1'!AB7</f>
        <v>36</v>
      </c>
      <c r="E17" s="90"/>
      <c r="F17" s="90">
        <f>SUBTOTAL(9,F18:F19)</f>
        <v>168307200</v>
      </c>
      <c r="G17" s="90">
        <f>D17</f>
        <v>36</v>
      </c>
      <c r="H17" s="90"/>
      <c r="I17" s="90">
        <f>SUBTOTAL(9,I18:I19)</f>
        <v>168307200</v>
      </c>
      <c r="J17" s="90">
        <f>D17</f>
        <v>36</v>
      </c>
      <c r="K17" s="90"/>
      <c r="L17" s="90">
        <f>SUBTOTAL(9,L18:L19)</f>
        <v>168307200</v>
      </c>
      <c r="M17" s="90">
        <f>D17</f>
        <v>36</v>
      </c>
      <c r="N17" s="90"/>
      <c r="O17" s="90">
        <f>SUBTOTAL(9,O18:O19)</f>
        <v>168307200</v>
      </c>
      <c r="P17" s="90">
        <f>D17</f>
        <v>36</v>
      </c>
      <c r="Q17" s="90"/>
      <c r="R17" s="90">
        <f>SUBTOTAL(9,R18:R19)</f>
        <v>168307200</v>
      </c>
      <c r="S17" s="90">
        <f>SUBTOTAL(9,S18:S19)</f>
        <v>841536000</v>
      </c>
      <c r="T17" s="95" t="s">
        <v>149</v>
      </c>
    </row>
    <row r="18" spans="1:20" x14ac:dyDescent="0.25">
      <c r="A18" s="92">
        <v>1</v>
      </c>
      <c r="B18" s="93" t="s">
        <v>134</v>
      </c>
      <c r="C18" s="94">
        <v>62000</v>
      </c>
      <c r="D18" s="94">
        <f>D17</f>
        <v>36</v>
      </c>
      <c r="E18" s="94">
        <v>12</v>
      </c>
      <c r="F18" s="94">
        <f>D18*E18*$C18</f>
        <v>26784000</v>
      </c>
      <c r="G18" s="94">
        <f>G17</f>
        <v>36</v>
      </c>
      <c r="H18" s="94">
        <v>12</v>
      </c>
      <c r="I18" s="94">
        <f>G18*H18*$C18</f>
        <v>26784000</v>
      </c>
      <c r="J18" s="94">
        <f>J17</f>
        <v>36</v>
      </c>
      <c r="K18" s="94">
        <v>12</v>
      </c>
      <c r="L18" s="94">
        <f>J18*K18*$C18</f>
        <v>26784000</v>
      </c>
      <c r="M18" s="94">
        <f>M17</f>
        <v>36</v>
      </c>
      <c r="N18" s="94">
        <v>12</v>
      </c>
      <c r="O18" s="94">
        <f>M18*N18*$C18</f>
        <v>26784000</v>
      </c>
      <c r="P18" s="94">
        <f>P17</f>
        <v>36</v>
      </c>
      <c r="Q18" s="94">
        <v>12</v>
      </c>
      <c r="R18" s="94">
        <f>P18*Q18*$C18</f>
        <v>26784000</v>
      </c>
      <c r="S18" s="94">
        <f t="shared" si="0"/>
        <v>133920000</v>
      </c>
      <c r="T18" s="95"/>
    </row>
    <row r="19" spans="1:20" x14ac:dyDescent="0.25">
      <c r="A19" s="92">
        <v>2</v>
      </c>
      <c r="B19" s="93" t="s">
        <v>205</v>
      </c>
      <c r="C19" s="94">
        <v>327600</v>
      </c>
      <c r="D19" s="94">
        <f>D17</f>
        <v>36</v>
      </c>
      <c r="E19" s="94">
        <v>12</v>
      </c>
      <c r="F19" s="94">
        <f>D19*E19*$C19</f>
        <v>141523200</v>
      </c>
      <c r="G19" s="94">
        <f>G17</f>
        <v>36</v>
      </c>
      <c r="H19" s="94">
        <v>12</v>
      </c>
      <c r="I19" s="94">
        <f>G19*H19*$C19</f>
        <v>141523200</v>
      </c>
      <c r="J19" s="94">
        <f>J17</f>
        <v>36</v>
      </c>
      <c r="K19" s="94">
        <v>12</v>
      </c>
      <c r="L19" s="94">
        <f>J19*K19*$C19</f>
        <v>141523200</v>
      </c>
      <c r="M19" s="94">
        <f>M17</f>
        <v>36</v>
      </c>
      <c r="N19" s="94">
        <v>12</v>
      </c>
      <c r="O19" s="94">
        <f>M19*N19*$C19</f>
        <v>141523200</v>
      </c>
      <c r="P19" s="94">
        <f>P17</f>
        <v>36</v>
      </c>
      <c r="Q19" s="94">
        <v>12</v>
      </c>
      <c r="R19" s="94">
        <f>P19*Q19*$C19</f>
        <v>141523200</v>
      </c>
      <c r="S19" s="94">
        <f t="shared" si="0"/>
        <v>707616000</v>
      </c>
      <c r="T19" s="95"/>
    </row>
    <row r="20" spans="1:20" s="91" customFormat="1" x14ac:dyDescent="0.25">
      <c r="A20" s="84" t="s">
        <v>54</v>
      </c>
      <c r="B20" s="89" t="s">
        <v>138</v>
      </c>
      <c r="C20" s="90"/>
      <c r="D20" s="90">
        <v>12</v>
      </c>
      <c r="E20" s="90"/>
      <c r="F20" s="90">
        <f>SUBTOTAL(9,F21:F22)</f>
        <v>57542400</v>
      </c>
      <c r="G20" s="90">
        <f>D20</f>
        <v>12</v>
      </c>
      <c r="H20" s="90"/>
      <c r="I20" s="90">
        <f>SUBTOTAL(9,I21:I22)</f>
        <v>57542400</v>
      </c>
      <c r="J20" s="90">
        <f>G20</f>
        <v>12</v>
      </c>
      <c r="K20" s="90"/>
      <c r="L20" s="90">
        <f>SUBTOTAL(9,L21:L22)</f>
        <v>57542400</v>
      </c>
      <c r="M20" s="90">
        <f>G20</f>
        <v>12</v>
      </c>
      <c r="N20" s="90"/>
      <c r="O20" s="90">
        <f>SUBTOTAL(9,O21:O22)</f>
        <v>57542400</v>
      </c>
      <c r="P20" s="90">
        <f>G20</f>
        <v>12</v>
      </c>
      <c r="Q20" s="90"/>
      <c r="R20" s="90">
        <f>SUBTOTAL(9,R21:R22)</f>
        <v>57542400</v>
      </c>
      <c r="S20" s="90">
        <f>SUBTOTAL(9,S21:S22)</f>
        <v>287712000</v>
      </c>
      <c r="T20" s="95" t="s">
        <v>149</v>
      </c>
    </row>
    <row r="21" spans="1:20" x14ac:dyDescent="0.25">
      <c r="A21" s="92">
        <v>1</v>
      </c>
      <c r="B21" s="93" t="s">
        <v>134</v>
      </c>
      <c r="C21" s="94">
        <v>72000</v>
      </c>
      <c r="D21" s="94">
        <f>D20</f>
        <v>12</v>
      </c>
      <c r="E21" s="94">
        <v>12</v>
      </c>
      <c r="F21" s="94">
        <f>D21*E21*$C21</f>
        <v>10368000</v>
      </c>
      <c r="G21" s="94">
        <f>G20</f>
        <v>12</v>
      </c>
      <c r="H21" s="94">
        <v>12</v>
      </c>
      <c r="I21" s="94">
        <f>G21*H21*$C21</f>
        <v>10368000</v>
      </c>
      <c r="J21" s="94">
        <f>J20</f>
        <v>12</v>
      </c>
      <c r="K21" s="94">
        <v>12</v>
      </c>
      <c r="L21" s="94">
        <f>J21*K21*$C21</f>
        <v>10368000</v>
      </c>
      <c r="M21" s="94">
        <f>M20</f>
        <v>12</v>
      </c>
      <c r="N21" s="94">
        <v>12</v>
      </c>
      <c r="O21" s="94">
        <f>M21*N21*$C21</f>
        <v>10368000</v>
      </c>
      <c r="P21" s="94">
        <f>P20</f>
        <v>12</v>
      </c>
      <c r="Q21" s="94">
        <v>12</v>
      </c>
      <c r="R21" s="94">
        <f>P21*Q21*$C21</f>
        <v>10368000</v>
      </c>
      <c r="S21" s="94">
        <f t="shared" si="0"/>
        <v>51840000</v>
      </c>
      <c r="T21" s="95"/>
    </row>
    <row r="22" spans="1:20" x14ac:dyDescent="0.25">
      <c r="A22" s="92">
        <v>2</v>
      </c>
      <c r="B22" s="93" t="s">
        <v>205</v>
      </c>
      <c r="C22" s="94">
        <v>327600</v>
      </c>
      <c r="D22" s="94">
        <f>D20</f>
        <v>12</v>
      </c>
      <c r="E22" s="94">
        <v>12</v>
      </c>
      <c r="F22" s="94">
        <f>D22*E22*$C22</f>
        <v>47174400</v>
      </c>
      <c r="G22" s="94">
        <f>G20</f>
        <v>12</v>
      </c>
      <c r="H22" s="94">
        <v>12</v>
      </c>
      <c r="I22" s="94">
        <f>G22*H22*$C22</f>
        <v>47174400</v>
      </c>
      <c r="J22" s="94">
        <f>J20</f>
        <v>12</v>
      </c>
      <c r="K22" s="94">
        <v>12</v>
      </c>
      <c r="L22" s="94">
        <f>J22*K22*$C22</f>
        <v>47174400</v>
      </c>
      <c r="M22" s="94">
        <f>M20</f>
        <v>12</v>
      </c>
      <c r="N22" s="94">
        <v>12</v>
      </c>
      <c r="O22" s="94">
        <f>M22*N22*$C22</f>
        <v>47174400</v>
      </c>
      <c r="P22" s="94">
        <f>P20</f>
        <v>12</v>
      </c>
      <c r="Q22" s="94">
        <v>12</v>
      </c>
      <c r="R22" s="94">
        <f>P22*Q22*$C22</f>
        <v>47174400</v>
      </c>
      <c r="S22" s="94">
        <f t="shared" si="0"/>
        <v>235872000</v>
      </c>
      <c r="T22" s="95"/>
    </row>
    <row r="23" spans="1:20" s="91" customFormat="1" x14ac:dyDescent="0.25">
      <c r="A23" s="84" t="s">
        <v>55</v>
      </c>
      <c r="B23" s="89" t="s">
        <v>139</v>
      </c>
      <c r="C23" s="90"/>
      <c r="D23" s="90">
        <v>18</v>
      </c>
      <c r="E23" s="90"/>
      <c r="F23" s="90">
        <f>SUBTOTAL(9,F24:F25)</f>
        <v>86313600</v>
      </c>
      <c r="G23" s="90">
        <f>D23</f>
        <v>18</v>
      </c>
      <c r="H23" s="90"/>
      <c r="I23" s="90">
        <f>SUBTOTAL(9,I24:I25)</f>
        <v>86313600</v>
      </c>
      <c r="J23" s="90">
        <f>G23</f>
        <v>18</v>
      </c>
      <c r="K23" s="90"/>
      <c r="L23" s="90">
        <f>SUBTOTAL(9,L24:L25)</f>
        <v>86313600</v>
      </c>
      <c r="M23" s="90">
        <f>G23</f>
        <v>18</v>
      </c>
      <c r="N23" s="90"/>
      <c r="O23" s="90">
        <f>SUBTOTAL(9,O24:O25)</f>
        <v>86313600</v>
      </c>
      <c r="P23" s="90">
        <f>G23</f>
        <v>18</v>
      </c>
      <c r="Q23" s="90"/>
      <c r="R23" s="90">
        <f>SUBTOTAL(9,R24:R25)</f>
        <v>86313600</v>
      </c>
      <c r="S23" s="90">
        <f>SUBTOTAL(9,S24:S25)</f>
        <v>431568000</v>
      </c>
      <c r="T23" s="95" t="s">
        <v>149</v>
      </c>
    </row>
    <row r="24" spans="1:20" x14ac:dyDescent="0.25">
      <c r="A24" s="92">
        <v>1</v>
      </c>
      <c r="B24" s="93" t="s">
        <v>134</v>
      </c>
      <c r="C24" s="94">
        <v>72000</v>
      </c>
      <c r="D24" s="94">
        <f>D23</f>
        <v>18</v>
      </c>
      <c r="E24" s="94">
        <v>12</v>
      </c>
      <c r="F24" s="94">
        <f>D24*E24*$C24</f>
        <v>15552000</v>
      </c>
      <c r="G24" s="94">
        <f>G23</f>
        <v>18</v>
      </c>
      <c r="H24" s="94">
        <v>12</v>
      </c>
      <c r="I24" s="94">
        <f>G24*H24*$C24</f>
        <v>15552000</v>
      </c>
      <c r="J24" s="94">
        <f>J23</f>
        <v>18</v>
      </c>
      <c r="K24" s="94">
        <v>12</v>
      </c>
      <c r="L24" s="94">
        <f>J24*K24*$C24</f>
        <v>15552000</v>
      </c>
      <c r="M24" s="94">
        <f>M23</f>
        <v>18</v>
      </c>
      <c r="N24" s="94">
        <v>12</v>
      </c>
      <c r="O24" s="94">
        <f>M24*N24*$C24</f>
        <v>15552000</v>
      </c>
      <c r="P24" s="94">
        <f>P23</f>
        <v>18</v>
      </c>
      <c r="Q24" s="94">
        <v>12</v>
      </c>
      <c r="R24" s="94">
        <f>P24*Q24*$C24</f>
        <v>15552000</v>
      </c>
      <c r="S24" s="94">
        <f t="shared" si="0"/>
        <v>77760000</v>
      </c>
      <c r="T24" s="95"/>
    </row>
    <row r="25" spans="1:20" x14ac:dyDescent="0.25">
      <c r="A25" s="92">
        <v>2</v>
      </c>
      <c r="B25" s="93" t="s">
        <v>205</v>
      </c>
      <c r="C25" s="94">
        <v>327600</v>
      </c>
      <c r="D25" s="94">
        <f>D23</f>
        <v>18</v>
      </c>
      <c r="E25" s="94">
        <v>12</v>
      </c>
      <c r="F25" s="94">
        <f>D25*E25*$C25</f>
        <v>70761600</v>
      </c>
      <c r="G25" s="94">
        <f>G23</f>
        <v>18</v>
      </c>
      <c r="H25" s="94">
        <v>12</v>
      </c>
      <c r="I25" s="94">
        <f>G25*H25*$C25</f>
        <v>70761600</v>
      </c>
      <c r="J25" s="94">
        <f>J23</f>
        <v>18</v>
      </c>
      <c r="K25" s="94">
        <v>12</v>
      </c>
      <c r="L25" s="94">
        <f>J25*K25*$C25</f>
        <v>70761600</v>
      </c>
      <c r="M25" s="94">
        <f>M23</f>
        <v>18</v>
      </c>
      <c r="N25" s="94">
        <v>12</v>
      </c>
      <c r="O25" s="94">
        <f>M25*N25*$C25</f>
        <v>70761600</v>
      </c>
      <c r="P25" s="94">
        <f>P23</f>
        <v>18</v>
      </c>
      <c r="Q25" s="94">
        <v>12</v>
      </c>
      <c r="R25" s="94">
        <f>P25*Q25*$C25</f>
        <v>70761600</v>
      </c>
      <c r="S25" s="94">
        <f t="shared" si="0"/>
        <v>353808000</v>
      </c>
      <c r="T25" s="95"/>
    </row>
    <row r="26" spans="1:20" s="91" customFormat="1" x14ac:dyDescent="0.25">
      <c r="A26" s="84" t="s">
        <v>57</v>
      </c>
      <c r="B26" s="89" t="s">
        <v>141</v>
      </c>
      <c r="C26" s="90"/>
      <c r="D26" s="90">
        <v>18</v>
      </c>
      <c r="E26" s="90"/>
      <c r="F26" s="90">
        <f>SUBTOTAL(9,F27:F28)</f>
        <v>86313600</v>
      </c>
      <c r="G26" s="90">
        <f>D26</f>
        <v>18</v>
      </c>
      <c r="H26" s="90"/>
      <c r="I26" s="90">
        <f>SUBTOTAL(9,I27:I28)</f>
        <v>86313600</v>
      </c>
      <c r="J26" s="90">
        <f>G26</f>
        <v>18</v>
      </c>
      <c r="K26" s="90"/>
      <c r="L26" s="90">
        <f>SUBTOTAL(9,L27:L28)</f>
        <v>86313600</v>
      </c>
      <c r="M26" s="90">
        <f>G26</f>
        <v>18</v>
      </c>
      <c r="N26" s="90"/>
      <c r="O26" s="90">
        <f>SUBTOTAL(9,O27:O28)</f>
        <v>86313600</v>
      </c>
      <c r="P26" s="90">
        <f>G26</f>
        <v>18</v>
      </c>
      <c r="Q26" s="90"/>
      <c r="R26" s="90">
        <f>SUBTOTAL(9,R27:R28)</f>
        <v>86313600</v>
      </c>
      <c r="S26" s="90">
        <f>SUBTOTAL(9,S27:S28)</f>
        <v>431568000</v>
      </c>
      <c r="T26" s="95" t="s">
        <v>149</v>
      </c>
    </row>
    <row r="27" spans="1:20" x14ac:dyDescent="0.25">
      <c r="A27" s="92">
        <v>1</v>
      </c>
      <c r="B27" s="93" t="s">
        <v>134</v>
      </c>
      <c r="C27" s="94">
        <v>72000</v>
      </c>
      <c r="D27" s="94">
        <f>D26</f>
        <v>18</v>
      </c>
      <c r="E27" s="94">
        <v>12</v>
      </c>
      <c r="F27" s="94">
        <f>D27*E27*$C27</f>
        <v>15552000</v>
      </c>
      <c r="G27" s="94">
        <f>G26</f>
        <v>18</v>
      </c>
      <c r="H27" s="94">
        <v>12</v>
      </c>
      <c r="I27" s="94">
        <f>G27*H27*$C27</f>
        <v>15552000</v>
      </c>
      <c r="J27" s="94">
        <f>J26</f>
        <v>18</v>
      </c>
      <c r="K27" s="94">
        <v>12</v>
      </c>
      <c r="L27" s="94">
        <f>J27*K27*$C27</f>
        <v>15552000</v>
      </c>
      <c r="M27" s="94">
        <f>M26</f>
        <v>18</v>
      </c>
      <c r="N27" s="94">
        <v>12</v>
      </c>
      <c r="O27" s="94">
        <f>M27*N27*$C27</f>
        <v>15552000</v>
      </c>
      <c r="P27" s="94">
        <f>P26</f>
        <v>18</v>
      </c>
      <c r="Q27" s="94">
        <v>12</v>
      </c>
      <c r="R27" s="94">
        <f>P27*Q27*$C27</f>
        <v>15552000</v>
      </c>
      <c r="S27" s="94">
        <f t="shared" si="0"/>
        <v>77760000</v>
      </c>
      <c r="T27" s="95"/>
    </row>
    <row r="28" spans="1:20" x14ac:dyDescent="0.25">
      <c r="A28" s="92">
        <v>2</v>
      </c>
      <c r="B28" s="93" t="s">
        <v>205</v>
      </c>
      <c r="C28" s="94">
        <v>327600</v>
      </c>
      <c r="D28" s="94">
        <f>D26</f>
        <v>18</v>
      </c>
      <c r="E28" s="94">
        <v>12</v>
      </c>
      <c r="F28" s="94">
        <f>D28*E28*$C28</f>
        <v>70761600</v>
      </c>
      <c r="G28" s="94">
        <f>G26</f>
        <v>18</v>
      </c>
      <c r="H28" s="94">
        <v>12</v>
      </c>
      <c r="I28" s="94">
        <f>G28*H28*$C28</f>
        <v>70761600</v>
      </c>
      <c r="J28" s="94">
        <f>J26</f>
        <v>18</v>
      </c>
      <c r="K28" s="94">
        <v>12</v>
      </c>
      <c r="L28" s="94">
        <f>J28*K28*$C28</f>
        <v>70761600</v>
      </c>
      <c r="M28" s="94">
        <f>M26</f>
        <v>18</v>
      </c>
      <c r="N28" s="94">
        <v>12</v>
      </c>
      <c r="O28" s="94">
        <f>M28*N28*$C28</f>
        <v>70761600</v>
      </c>
      <c r="P28" s="94">
        <f>P26</f>
        <v>18</v>
      </c>
      <c r="Q28" s="94">
        <v>12</v>
      </c>
      <c r="R28" s="94">
        <f>P28*Q28*$C28</f>
        <v>70761600</v>
      </c>
      <c r="S28" s="94">
        <f t="shared" si="0"/>
        <v>353808000</v>
      </c>
      <c r="T28" s="95"/>
    </row>
    <row r="29" spans="1:20" s="91" customFormat="1" x14ac:dyDescent="0.25">
      <c r="A29" s="84" t="s">
        <v>58</v>
      </c>
      <c r="B29" s="89" t="s">
        <v>143</v>
      </c>
      <c r="C29" s="90"/>
      <c r="D29" s="90">
        <v>12</v>
      </c>
      <c r="E29" s="90"/>
      <c r="F29" s="90">
        <f>SUBTOTAL(9,F30:F31)</f>
        <v>57542400</v>
      </c>
      <c r="G29" s="90">
        <f>D29</f>
        <v>12</v>
      </c>
      <c r="H29" s="90"/>
      <c r="I29" s="90">
        <f>SUBTOTAL(9,I30:I31)</f>
        <v>57542400</v>
      </c>
      <c r="J29" s="90">
        <f>G29</f>
        <v>12</v>
      </c>
      <c r="K29" s="90"/>
      <c r="L29" s="90">
        <f>SUBTOTAL(9,L30:L31)</f>
        <v>57542400</v>
      </c>
      <c r="M29" s="90">
        <f>G29</f>
        <v>12</v>
      </c>
      <c r="N29" s="90"/>
      <c r="O29" s="90">
        <f>SUBTOTAL(9,O30:O31)</f>
        <v>57542400</v>
      </c>
      <c r="P29" s="90">
        <f>G29</f>
        <v>12</v>
      </c>
      <c r="Q29" s="90"/>
      <c r="R29" s="90">
        <f>SUBTOTAL(9,R30:R31)</f>
        <v>57542400</v>
      </c>
      <c r="S29" s="90">
        <f>SUBTOTAL(9,S30:S31)</f>
        <v>287712000</v>
      </c>
      <c r="T29" s="95" t="s">
        <v>149</v>
      </c>
    </row>
    <row r="30" spans="1:20" x14ac:dyDescent="0.25">
      <c r="A30" s="92">
        <v>1</v>
      </c>
      <c r="B30" s="93" t="s">
        <v>134</v>
      </c>
      <c r="C30" s="94">
        <v>72000</v>
      </c>
      <c r="D30" s="94">
        <f>D29</f>
        <v>12</v>
      </c>
      <c r="E30" s="94">
        <v>12</v>
      </c>
      <c r="F30" s="94">
        <f>D30*E30*$C30</f>
        <v>10368000</v>
      </c>
      <c r="G30" s="94">
        <f>G29</f>
        <v>12</v>
      </c>
      <c r="H30" s="94">
        <v>12</v>
      </c>
      <c r="I30" s="94">
        <f>G30*H30*$C30</f>
        <v>10368000</v>
      </c>
      <c r="J30" s="94">
        <f>J29</f>
        <v>12</v>
      </c>
      <c r="K30" s="94">
        <v>12</v>
      </c>
      <c r="L30" s="94">
        <f>J30*K30*$C30</f>
        <v>10368000</v>
      </c>
      <c r="M30" s="94">
        <f>M29</f>
        <v>12</v>
      </c>
      <c r="N30" s="94">
        <v>12</v>
      </c>
      <c r="O30" s="94">
        <f>M30*N30*$C30</f>
        <v>10368000</v>
      </c>
      <c r="P30" s="94">
        <f>P29</f>
        <v>12</v>
      </c>
      <c r="Q30" s="94">
        <v>12</v>
      </c>
      <c r="R30" s="94">
        <f>P30*Q30*$C30</f>
        <v>10368000</v>
      </c>
      <c r="S30" s="94">
        <f t="shared" si="0"/>
        <v>51840000</v>
      </c>
      <c r="T30" s="95"/>
    </row>
    <row r="31" spans="1:20" x14ac:dyDescent="0.25">
      <c r="A31" s="92">
        <v>2</v>
      </c>
      <c r="B31" s="93" t="s">
        <v>205</v>
      </c>
      <c r="C31" s="94">
        <v>327600</v>
      </c>
      <c r="D31" s="94">
        <f>D29</f>
        <v>12</v>
      </c>
      <c r="E31" s="94">
        <v>12</v>
      </c>
      <c r="F31" s="94">
        <f>D31*E31*$C31</f>
        <v>47174400</v>
      </c>
      <c r="G31" s="94">
        <f>G29</f>
        <v>12</v>
      </c>
      <c r="H31" s="94">
        <v>12</v>
      </c>
      <c r="I31" s="94">
        <f>G31*H31*$C31</f>
        <v>47174400</v>
      </c>
      <c r="J31" s="94">
        <f>J29</f>
        <v>12</v>
      </c>
      <c r="K31" s="94">
        <v>12</v>
      </c>
      <c r="L31" s="94">
        <f>J31*K31*$C31</f>
        <v>47174400</v>
      </c>
      <c r="M31" s="94">
        <f>M29</f>
        <v>12</v>
      </c>
      <c r="N31" s="94">
        <v>12</v>
      </c>
      <c r="O31" s="94">
        <f>M31*N31*$C31</f>
        <v>47174400</v>
      </c>
      <c r="P31" s="94">
        <f>P29</f>
        <v>12</v>
      </c>
      <c r="Q31" s="94">
        <v>12</v>
      </c>
      <c r="R31" s="94">
        <f>P31*Q31*$C31</f>
        <v>47174400</v>
      </c>
      <c r="S31" s="94">
        <f t="shared" si="0"/>
        <v>235872000</v>
      </c>
      <c r="T31" s="95"/>
    </row>
    <row r="32" spans="1:20" s="91" customFormat="1" x14ac:dyDescent="0.25">
      <c r="A32" s="84" t="s">
        <v>59</v>
      </c>
      <c r="B32" s="89" t="s">
        <v>144</v>
      </c>
      <c r="C32" s="90"/>
      <c r="D32" s="90">
        <v>18</v>
      </c>
      <c r="E32" s="90"/>
      <c r="F32" s="90">
        <f>SUBTOTAL(9,F33:F34)</f>
        <v>86313600</v>
      </c>
      <c r="G32" s="90">
        <f>D32</f>
        <v>18</v>
      </c>
      <c r="H32" s="90"/>
      <c r="I32" s="90">
        <f>SUBTOTAL(9,I33:I34)</f>
        <v>86313600</v>
      </c>
      <c r="J32" s="90">
        <f>G32</f>
        <v>18</v>
      </c>
      <c r="K32" s="90"/>
      <c r="L32" s="90">
        <f>SUBTOTAL(9,L33:L34)</f>
        <v>86313600</v>
      </c>
      <c r="M32" s="90">
        <f>G32</f>
        <v>18</v>
      </c>
      <c r="N32" s="90"/>
      <c r="O32" s="90">
        <f>SUBTOTAL(9,O33:O34)</f>
        <v>86313600</v>
      </c>
      <c r="P32" s="90">
        <f>G32</f>
        <v>18</v>
      </c>
      <c r="Q32" s="90"/>
      <c r="R32" s="90">
        <f>SUBTOTAL(9,R33:R34)</f>
        <v>86313600</v>
      </c>
      <c r="S32" s="90">
        <f>SUBTOTAL(9,S33:S34)</f>
        <v>431568000</v>
      </c>
      <c r="T32" s="95" t="s">
        <v>149</v>
      </c>
    </row>
    <row r="33" spans="1:20" x14ac:dyDescent="0.25">
      <c r="A33" s="92">
        <v>1</v>
      </c>
      <c r="B33" s="93" t="s">
        <v>134</v>
      </c>
      <c r="C33" s="94">
        <v>72000</v>
      </c>
      <c r="D33" s="94">
        <f>D32</f>
        <v>18</v>
      </c>
      <c r="E33" s="94">
        <v>12</v>
      </c>
      <c r="F33" s="94">
        <f>D33*E33*$C33</f>
        <v>15552000</v>
      </c>
      <c r="G33" s="94">
        <f>G32</f>
        <v>18</v>
      </c>
      <c r="H33" s="94">
        <v>12</v>
      </c>
      <c r="I33" s="94">
        <f>G33*H33*$C33</f>
        <v>15552000</v>
      </c>
      <c r="J33" s="94">
        <f>J32</f>
        <v>18</v>
      </c>
      <c r="K33" s="94">
        <v>12</v>
      </c>
      <c r="L33" s="94">
        <f>J33*K33*$C33</f>
        <v>15552000</v>
      </c>
      <c r="M33" s="94">
        <f>M32</f>
        <v>18</v>
      </c>
      <c r="N33" s="94">
        <v>12</v>
      </c>
      <c r="O33" s="94">
        <f>M33*N33*$C33</f>
        <v>15552000</v>
      </c>
      <c r="P33" s="94">
        <f>P32</f>
        <v>18</v>
      </c>
      <c r="Q33" s="94">
        <v>12</v>
      </c>
      <c r="R33" s="94">
        <f>P33*Q33*$C33</f>
        <v>15552000</v>
      </c>
      <c r="S33" s="94">
        <f t="shared" si="0"/>
        <v>77760000</v>
      </c>
      <c r="T33" s="95"/>
    </row>
    <row r="34" spans="1:20" x14ac:dyDescent="0.25">
      <c r="A34" s="92">
        <v>2</v>
      </c>
      <c r="B34" s="93" t="s">
        <v>205</v>
      </c>
      <c r="C34" s="94">
        <v>327600</v>
      </c>
      <c r="D34" s="94">
        <f>D32</f>
        <v>18</v>
      </c>
      <c r="E34" s="94">
        <v>12</v>
      </c>
      <c r="F34" s="94">
        <f>D34*E34*$C34</f>
        <v>70761600</v>
      </c>
      <c r="G34" s="94">
        <f>G32</f>
        <v>18</v>
      </c>
      <c r="H34" s="94">
        <v>12</v>
      </c>
      <c r="I34" s="94">
        <f>G34*H34*$C34</f>
        <v>70761600</v>
      </c>
      <c r="J34" s="94">
        <f>J32</f>
        <v>18</v>
      </c>
      <c r="K34" s="94">
        <v>12</v>
      </c>
      <c r="L34" s="94">
        <f>J34*K34*$C34</f>
        <v>70761600</v>
      </c>
      <c r="M34" s="94">
        <f>M32</f>
        <v>18</v>
      </c>
      <c r="N34" s="94">
        <v>12</v>
      </c>
      <c r="O34" s="94">
        <f>M34*N34*$C34</f>
        <v>70761600</v>
      </c>
      <c r="P34" s="94">
        <f>P32</f>
        <v>18</v>
      </c>
      <c r="Q34" s="94">
        <v>12</v>
      </c>
      <c r="R34" s="94">
        <f>P34*Q34*$C34</f>
        <v>70761600</v>
      </c>
      <c r="S34" s="94">
        <f t="shared" si="0"/>
        <v>353808000</v>
      </c>
      <c r="T34" s="95"/>
    </row>
    <row r="35" spans="1:20" s="91" customFormat="1" x14ac:dyDescent="0.25">
      <c r="A35" s="84" t="s">
        <v>140</v>
      </c>
      <c r="B35" s="89" t="s">
        <v>64</v>
      </c>
      <c r="C35" s="90"/>
      <c r="D35" s="90">
        <f>PL2A!E18</f>
        <v>475</v>
      </c>
      <c r="E35" s="90"/>
      <c r="F35" s="90">
        <f>SUBTOTAL(9,F36:F37)</f>
        <v>2847150000</v>
      </c>
      <c r="G35" s="90">
        <f>PL2A!G18</f>
        <v>250</v>
      </c>
      <c r="H35" s="90"/>
      <c r="I35" s="90">
        <f>SUBTOTAL(9,I36:I37)</f>
        <v>1498500000</v>
      </c>
      <c r="J35" s="90">
        <f>G35</f>
        <v>250</v>
      </c>
      <c r="K35" s="90"/>
      <c r="L35" s="90">
        <f>SUBTOTAL(9,L36:L37)</f>
        <v>1498500000</v>
      </c>
      <c r="M35" s="90">
        <f>G35</f>
        <v>250</v>
      </c>
      <c r="N35" s="90"/>
      <c r="O35" s="90">
        <f>SUBTOTAL(9,O36:O37)</f>
        <v>1498500000</v>
      </c>
      <c r="P35" s="90">
        <f>G35</f>
        <v>250</v>
      </c>
      <c r="Q35" s="90"/>
      <c r="R35" s="90">
        <f>SUBTOTAL(9,R36:R37)</f>
        <v>1498500000</v>
      </c>
      <c r="S35" s="90">
        <f>SUBTOTAL(9,S36:S37)</f>
        <v>8841150000</v>
      </c>
      <c r="T35" s="95" t="s">
        <v>190</v>
      </c>
    </row>
    <row r="36" spans="1:20" x14ac:dyDescent="0.25">
      <c r="A36" s="92">
        <v>1</v>
      </c>
      <c r="B36" s="93" t="s">
        <v>134</v>
      </c>
      <c r="C36" s="94">
        <v>72000</v>
      </c>
      <c r="D36" s="94">
        <f>D35</f>
        <v>475</v>
      </c>
      <c r="E36" s="94">
        <v>15</v>
      </c>
      <c r="F36" s="94">
        <f>D36*E36*$C36</f>
        <v>513000000</v>
      </c>
      <c r="G36" s="94">
        <f>G35</f>
        <v>250</v>
      </c>
      <c r="H36" s="94">
        <v>15</v>
      </c>
      <c r="I36" s="94">
        <f>G36*H36*$C36</f>
        <v>270000000</v>
      </c>
      <c r="J36" s="94">
        <f>J35</f>
        <v>250</v>
      </c>
      <c r="K36" s="94">
        <v>15</v>
      </c>
      <c r="L36" s="94">
        <f>J36*K36*$C36</f>
        <v>270000000</v>
      </c>
      <c r="M36" s="94">
        <f>M35</f>
        <v>250</v>
      </c>
      <c r="N36" s="94">
        <v>15</v>
      </c>
      <c r="O36" s="94">
        <f>M36*N36*$C36</f>
        <v>270000000</v>
      </c>
      <c r="P36" s="94">
        <f>P35</f>
        <v>250</v>
      </c>
      <c r="Q36" s="94">
        <v>15</v>
      </c>
      <c r="R36" s="94">
        <f>P36*Q36*$C36</f>
        <v>270000000</v>
      </c>
      <c r="S36" s="94">
        <f>F36+I36+L36+O36+R36</f>
        <v>1593000000</v>
      </c>
      <c r="T36" s="95"/>
    </row>
    <row r="37" spans="1:20" x14ac:dyDescent="0.25">
      <c r="A37" s="92">
        <v>2</v>
      </c>
      <c r="B37" s="93" t="s">
        <v>205</v>
      </c>
      <c r="C37" s="94">
        <v>327600</v>
      </c>
      <c r="D37" s="94">
        <f>D35</f>
        <v>475</v>
      </c>
      <c r="E37" s="94">
        <v>15</v>
      </c>
      <c r="F37" s="94">
        <f>D37*E37*$C37</f>
        <v>2334150000</v>
      </c>
      <c r="G37" s="94">
        <f>G35</f>
        <v>250</v>
      </c>
      <c r="H37" s="94">
        <v>15</v>
      </c>
      <c r="I37" s="94">
        <f>G37*H37*$C37</f>
        <v>1228500000</v>
      </c>
      <c r="J37" s="94">
        <f>J35</f>
        <v>250</v>
      </c>
      <c r="K37" s="94">
        <v>15</v>
      </c>
      <c r="L37" s="94">
        <f>J37*K37*$C37</f>
        <v>1228500000</v>
      </c>
      <c r="M37" s="94">
        <f>M35</f>
        <v>250</v>
      </c>
      <c r="N37" s="94">
        <v>15</v>
      </c>
      <c r="O37" s="94">
        <f>M37*N37*$C37</f>
        <v>1228500000</v>
      </c>
      <c r="P37" s="94">
        <f>P35</f>
        <v>250</v>
      </c>
      <c r="Q37" s="94">
        <v>15</v>
      </c>
      <c r="R37" s="94">
        <f>P37*Q37*$C37</f>
        <v>1228500000</v>
      </c>
      <c r="S37" s="94">
        <f>F37+I37+L37+O37+R37</f>
        <v>7248150000</v>
      </c>
      <c r="T37" s="95"/>
    </row>
  </sheetData>
  <mergeCells count="13">
    <mergeCell ref="P4:R4"/>
    <mergeCell ref="S4:S5"/>
    <mergeCell ref="T4:T5"/>
    <mergeCell ref="A1:S1"/>
    <mergeCell ref="A2:S2"/>
    <mergeCell ref="A3:S3"/>
    <mergeCell ref="A4:A5"/>
    <mergeCell ref="B4:B5"/>
    <mergeCell ref="C4:C5"/>
    <mergeCell ref="D4:F4"/>
    <mergeCell ref="G4:I4"/>
    <mergeCell ref="J4:L4"/>
    <mergeCell ref="M4:O4"/>
  </mergeCells>
  <pageMargins left="0.2" right="0.2" top="0.54" bottom="0.21" header="0.3" footer="0.2"/>
  <pageSetup paperSize="9" scale="60" orientation="landscape" verticalDpi="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1CA02-022F-4252-A81B-B3D24DDB7498}">
  <dimension ref="A1:AA47"/>
  <sheetViews>
    <sheetView topLeftCell="A15" workbookViewId="0">
      <selection activeCell="F18" sqref="F18"/>
    </sheetView>
  </sheetViews>
  <sheetFormatPr defaultColWidth="9.140625" defaultRowHeight="15" outlineLevelCol="1" x14ac:dyDescent="0.25"/>
  <cols>
    <col min="1" max="1" width="5" style="103" bestFit="1" customWidth="1"/>
    <col min="2" max="2" width="21.85546875" style="104" customWidth="1"/>
    <col min="3" max="3" width="9.85546875" style="96" customWidth="1"/>
    <col min="4" max="4" width="8.5703125" style="96" customWidth="1"/>
    <col min="5" max="5" width="6.42578125" style="96" customWidth="1"/>
    <col min="6" max="6" width="16.7109375" style="96" customWidth="1"/>
    <col min="7" max="7" width="8.7109375" style="96" customWidth="1"/>
    <col min="8" max="8" width="6.5703125" style="96" customWidth="1"/>
    <col min="9" max="9" width="17.140625" style="96" customWidth="1"/>
    <col min="10" max="10" width="8.28515625" style="96" customWidth="1"/>
    <col min="11" max="11" width="6.28515625" style="96" bestFit="1" customWidth="1"/>
    <col min="12" max="12" width="16.140625" style="96" customWidth="1"/>
    <col min="13" max="13" width="8.42578125" style="96" customWidth="1"/>
    <col min="14" max="14" width="7.42578125" style="96" customWidth="1"/>
    <col min="15" max="15" width="16.140625" style="96" customWidth="1"/>
    <col min="16" max="16" width="8.7109375" style="96" customWidth="1"/>
    <col min="17" max="17" width="6.42578125" style="96" customWidth="1"/>
    <col min="18" max="18" width="17.42578125" style="96" customWidth="1"/>
    <col min="19" max="19" width="18.28515625" style="96" customWidth="1"/>
    <col min="20" max="20" width="23.5703125" style="96" customWidth="1" outlineLevel="1"/>
    <col min="21" max="21" width="18.42578125" style="96" bestFit="1" customWidth="1"/>
    <col min="22" max="16384" width="9.140625" style="96"/>
  </cols>
  <sheetData>
    <row r="1" spans="1:27" s="2" customFormat="1" ht="18.75" x14ac:dyDescent="0.3">
      <c r="A1" s="173" t="s">
        <v>372</v>
      </c>
      <c r="B1" s="173"/>
      <c r="C1" s="173"/>
      <c r="D1" s="173"/>
      <c r="E1" s="173"/>
      <c r="F1" s="173"/>
      <c r="G1" s="173"/>
      <c r="H1" s="173"/>
      <c r="I1" s="173"/>
      <c r="J1" s="173"/>
      <c r="K1" s="173"/>
      <c r="L1" s="173"/>
      <c r="M1" s="173"/>
      <c r="N1" s="173"/>
      <c r="O1" s="173"/>
      <c r="P1" s="173"/>
      <c r="Q1" s="173"/>
      <c r="R1" s="173"/>
      <c r="S1" s="173"/>
      <c r="T1" s="8"/>
      <c r="U1" s="8"/>
      <c r="V1" s="8"/>
      <c r="W1" s="8"/>
      <c r="X1" s="8"/>
      <c r="Y1" s="8"/>
      <c r="Z1" s="8"/>
      <c r="AA1" s="8"/>
    </row>
    <row r="2" spans="1:27" s="2" customFormat="1" ht="78" customHeight="1" x14ac:dyDescent="0.3">
      <c r="A2" s="174" t="s">
        <v>361</v>
      </c>
      <c r="B2" s="173"/>
      <c r="C2" s="173"/>
      <c r="D2" s="173"/>
      <c r="E2" s="173"/>
      <c r="F2" s="173"/>
      <c r="G2" s="173"/>
      <c r="H2" s="173"/>
      <c r="I2" s="173"/>
      <c r="J2" s="173"/>
      <c r="K2" s="173"/>
      <c r="L2" s="173"/>
      <c r="M2" s="173"/>
      <c r="N2" s="173"/>
      <c r="O2" s="173"/>
      <c r="P2" s="173"/>
      <c r="Q2" s="173"/>
      <c r="R2" s="173"/>
      <c r="S2" s="173"/>
      <c r="T2" s="8"/>
      <c r="U2" s="8"/>
      <c r="V2" s="8"/>
      <c r="W2" s="8"/>
      <c r="X2" s="8"/>
      <c r="Y2" s="8"/>
      <c r="Z2" s="8"/>
      <c r="AA2" s="8"/>
    </row>
    <row r="3" spans="1:27" s="3" customFormat="1" ht="18.75" x14ac:dyDescent="0.3">
      <c r="A3" s="175"/>
      <c r="B3" s="175"/>
      <c r="C3" s="175"/>
      <c r="D3" s="175"/>
      <c r="E3" s="175"/>
      <c r="F3" s="175"/>
      <c r="G3" s="175"/>
      <c r="H3" s="175"/>
      <c r="I3" s="175"/>
      <c r="J3" s="175"/>
      <c r="K3" s="175"/>
      <c r="L3" s="175"/>
      <c r="M3" s="175"/>
      <c r="N3" s="175"/>
      <c r="O3" s="175"/>
      <c r="P3" s="175"/>
      <c r="Q3" s="175"/>
      <c r="R3" s="175"/>
      <c r="S3" s="175"/>
      <c r="T3" s="13"/>
      <c r="U3" s="13"/>
      <c r="V3" s="13"/>
      <c r="W3" s="13"/>
      <c r="X3" s="13"/>
      <c r="Y3" s="13"/>
      <c r="Z3" s="13"/>
      <c r="AA3" s="13"/>
    </row>
    <row r="4" spans="1:27" s="10" customFormat="1" ht="18.75" x14ac:dyDescent="0.25">
      <c r="A4" s="176" t="s">
        <v>28</v>
      </c>
      <c r="B4" s="177" t="s">
        <v>118</v>
      </c>
      <c r="C4" s="171" t="s">
        <v>203</v>
      </c>
      <c r="D4" s="176" t="s">
        <v>235</v>
      </c>
      <c r="E4" s="176"/>
      <c r="F4" s="176"/>
      <c r="G4" s="176" t="s">
        <v>236</v>
      </c>
      <c r="H4" s="176"/>
      <c r="I4" s="176"/>
      <c r="J4" s="176" t="s">
        <v>237</v>
      </c>
      <c r="K4" s="176"/>
      <c r="L4" s="176"/>
      <c r="M4" s="176" t="s">
        <v>238</v>
      </c>
      <c r="N4" s="176"/>
      <c r="O4" s="176"/>
      <c r="P4" s="176" t="s">
        <v>239</v>
      </c>
      <c r="Q4" s="176"/>
      <c r="R4" s="176"/>
      <c r="S4" s="177" t="s">
        <v>34</v>
      </c>
      <c r="T4" s="178" t="s">
        <v>150</v>
      </c>
    </row>
    <row r="5" spans="1:27" s="10" customFormat="1" ht="69.75" customHeight="1" x14ac:dyDescent="0.25">
      <c r="A5" s="176"/>
      <c r="B5" s="176"/>
      <c r="C5" s="172"/>
      <c r="D5" s="5" t="s">
        <v>120</v>
      </c>
      <c r="E5" s="5" t="s">
        <v>146</v>
      </c>
      <c r="F5" s="5" t="s">
        <v>33</v>
      </c>
      <c r="G5" s="5" t="s">
        <v>120</v>
      </c>
      <c r="H5" s="5" t="s">
        <v>301</v>
      </c>
      <c r="I5" s="5" t="s">
        <v>33</v>
      </c>
      <c r="J5" s="5" t="s">
        <v>120</v>
      </c>
      <c r="K5" s="5" t="s">
        <v>301</v>
      </c>
      <c r="L5" s="5" t="s">
        <v>33</v>
      </c>
      <c r="M5" s="5" t="s">
        <v>120</v>
      </c>
      <c r="N5" s="5" t="s">
        <v>301</v>
      </c>
      <c r="O5" s="5" t="s">
        <v>33</v>
      </c>
      <c r="P5" s="5" t="s">
        <v>120</v>
      </c>
      <c r="Q5" s="5" t="s">
        <v>301</v>
      </c>
      <c r="R5" s="5" t="s">
        <v>33</v>
      </c>
      <c r="S5" s="176"/>
      <c r="T5" s="178"/>
    </row>
    <row r="6" spans="1:27" s="10" customFormat="1" ht="18.75" x14ac:dyDescent="0.25">
      <c r="A6" s="6" t="s">
        <v>117</v>
      </c>
      <c r="B6" s="6" t="s">
        <v>296</v>
      </c>
      <c r="C6" s="82"/>
      <c r="D6" s="51">
        <f>D8+D15+D22+D25+D41+D44</f>
        <v>1237</v>
      </c>
      <c r="E6" s="51">
        <f t="shared" ref="E6:S6" si="0">SUBTOTAL(9,E7:E47)</f>
        <v>1179</v>
      </c>
      <c r="F6" s="51">
        <f t="shared" si="0"/>
        <v>9035736980</v>
      </c>
      <c r="G6" s="51">
        <f t="shared" si="0"/>
        <v>2723</v>
      </c>
      <c r="H6" s="51">
        <f t="shared" si="0"/>
        <v>1155</v>
      </c>
      <c r="I6" s="51">
        <f t="shared" si="0"/>
        <v>6882292580</v>
      </c>
      <c r="J6" s="51">
        <f t="shared" si="0"/>
        <v>2723</v>
      </c>
      <c r="K6" s="51">
        <f t="shared" si="0"/>
        <v>1155</v>
      </c>
      <c r="L6" s="51">
        <f t="shared" si="0"/>
        <v>6882292580</v>
      </c>
      <c r="M6" s="51">
        <f t="shared" si="0"/>
        <v>4283</v>
      </c>
      <c r="N6" s="51">
        <f t="shared" si="0"/>
        <v>1183</v>
      </c>
      <c r="O6" s="51">
        <f t="shared" si="0"/>
        <v>9064108580</v>
      </c>
      <c r="P6" s="51">
        <f t="shared" si="0"/>
        <v>2723</v>
      </c>
      <c r="Q6" s="51">
        <f t="shared" si="0"/>
        <v>1155</v>
      </c>
      <c r="R6" s="51">
        <f t="shared" si="0"/>
        <v>6882292580</v>
      </c>
      <c r="S6" s="51">
        <f t="shared" si="0"/>
        <v>38746723300</v>
      </c>
      <c r="T6" s="11"/>
      <c r="U6" s="83"/>
    </row>
    <row r="7" spans="1:27" s="88" customFormat="1" ht="28.5" x14ac:dyDescent="0.25">
      <c r="A7" s="84" t="s">
        <v>216</v>
      </c>
      <c r="B7" s="85" t="s">
        <v>217</v>
      </c>
      <c r="C7" s="86"/>
      <c r="D7" s="86"/>
      <c r="E7" s="86"/>
      <c r="F7" s="86">
        <f>SUBTOTAL(9,F8:F24)</f>
        <v>6811746980</v>
      </c>
      <c r="G7" s="86"/>
      <c r="H7" s="86"/>
      <c r="I7" s="86">
        <f>SUBTOTAL(9,I8:I24)</f>
        <v>6811746980</v>
      </c>
      <c r="J7" s="86"/>
      <c r="K7" s="86"/>
      <c r="L7" s="86">
        <f>SUBTOTAL(9,L8:L24)</f>
        <v>6811746980</v>
      </c>
      <c r="M7" s="86"/>
      <c r="N7" s="86"/>
      <c r="O7" s="86">
        <f>SUBTOTAL(9,O8:O24)</f>
        <v>6811746980</v>
      </c>
      <c r="P7" s="86"/>
      <c r="Q7" s="86"/>
      <c r="R7" s="86">
        <f>SUBTOTAL(9,R8:R24)</f>
        <v>6811746980</v>
      </c>
      <c r="S7" s="86">
        <f>SUBTOTAL(9,S8:S24)</f>
        <v>34058734900</v>
      </c>
      <c r="T7" s="87"/>
      <c r="U7" s="83"/>
    </row>
    <row r="8" spans="1:27" s="91" customFormat="1" x14ac:dyDescent="0.25">
      <c r="A8" s="84" t="s">
        <v>35</v>
      </c>
      <c r="B8" s="89" t="s">
        <v>135</v>
      </c>
      <c r="C8" s="90"/>
      <c r="D8" s="90">
        <f>PL2A!E27</f>
        <v>84</v>
      </c>
      <c r="E8" s="90"/>
      <c r="F8" s="90">
        <f>SUBTOTAL(9,F9:F10)</f>
        <v>402796800</v>
      </c>
      <c r="G8" s="90">
        <f>D8</f>
        <v>84</v>
      </c>
      <c r="H8" s="90"/>
      <c r="I8" s="90">
        <f>SUBTOTAL(9,I9:I10)</f>
        <v>402796800</v>
      </c>
      <c r="J8" s="90">
        <f>G8</f>
        <v>84</v>
      </c>
      <c r="K8" s="90"/>
      <c r="L8" s="90">
        <f>SUBTOTAL(9,L9:L10)</f>
        <v>402796800</v>
      </c>
      <c r="M8" s="90">
        <f>G8</f>
        <v>84</v>
      </c>
      <c r="N8" s="90"/>
      <c r="O8" s="90">
        <f>SUBTOTAL(9,O9:O10)</f>
        <v>402796800</v>
      </c>
      <c r="P8" s="90">
        <f>G8</f>
        <v>84</v>
      </c>
      <c r="Q8" s="90"/>
      <c r="R8" s="90">
        <f>SUBTOTAL(9,R9:R10)</f>
        <v>402796800</v>
      </c>
      <c r="S8" s="90">
        <f>SUBTOTAL(9,S9:S10)</f>
        <v>2013984000</v>
      </c>
      <c r="T8" s="95" t="s">
        <v>149</v>
      </c>
    </row>
    <row r="9" spans="1:27" x14ac:dyDescent="0.25">
      <c r="A9" s="92">
        <v>1</v>
      </c>
      <c r="B9" s="93" t="s">
        <v>134</v>
      </c>
      <c r="C9" s="94">
        <v>72000</v>
      </c>
      <c r="D9" s="94">
        <f>D8</f>
        <v>84</v>
      </c>
      <c r="E9" s="94">
        <v>12</v>
      </c>
      <c r="F9" s="94">
        <f>D9*E9*$C9</f>
        <v>72576000</v>
      </c>
      <c r="G9" s="94">
        <f>G8</f>
        <v>84</v>
      </c>
      <c r="H9" s="94">
        <v>12</v>
      </c>
      <c r="I9" s="94">
        <f>G9*H9*$C9</f>
        <v>72576000</v>
      </c>
      <c r="J9" s="94">
        <f>J8</f>
        <v>84</v>
      </c>
      <c r="K9" s="94">
        <v>12</v>
      </c>
      <c r="L9" s="94">
        <f>J9*K9*$C9</f>
        <v>72576000</v>
      </c>
      <c r="M9" s="94">
        <f>M8</f>
        <v>84</v>
      </c>
      <c r="N9" s="94">
        <v>12</v>
      </c>
      <c r="O9" s="94">
        <f>M9*N9*$C9</f>
        <v>72576000</v>
      </c>
      <c r="P9" s="94">
        <f>P8</f>
        <v>84</v>
      </c>
      <c r="Q9" s="94">
        <v>12</v>
      </c>
      <c r="R9" s="94">
        <f>P9*Q9*$C9</f>
        <v>72576000</v>
      </c>
      <c r="S9" s="94">
        <f>F9+I9+L9+O9+R9</f>
        <v>362880000</v>
      </c>
      <c r="T9" s="95"/>
    </row>
    <row r="10" spans="1:27" x14ac:dyDescent="0.25">
      <c r="A10" s="92">
        <v>2</v>
      </c>
      <c r="B10" s="93" t="s">
        <v>205</v>
      </c>
      <c r="C10" s="94">
        <v>327600</v>
      </c>
      <c r="D10" s="94">
        <f>D9</f>
        <v>84</v>
      </c>
      <c r="E10" s="94">
        <v>12</v>
      </c>
      <c r="F10" s="94">
        <f>D10*E10*$C10</f>
        <v>330220800</v>
      </c>
      <c r="G10" s="94">
        <f>G9</f>
        <v>84</v>
      </c>
      <c r="H10" s="94">
        <v>12</v>
      </c>
      <c r="I10" s="94">
        <f>G10*H10*$C10</f>
        <v>330220800</v>
      </c>
      <c r="J10" s="94">
        <f>J9</f>
        <v>84</v>
      </c>
      <c r="K10" s="94">
        <v>12</v>
      </c>
      <c r="L10" s="94">
        <f>J10*K10*$C10</f>
        <v>330220800</v>
      </c>
      <c r="M10" s="94">
        <f>M9</f>
        <v>84</v>
      </c>
      <c r="N10" s="94">
        <v>12</v>
      </c>
      <c r="O10" s="94">
        <f>M10*N10*$C10</f>
        <v>330220800</v>
      </c>
      <c r="P10" s="94">
        <f>P9</f>
        <v>84</v>
      </c>
      <c r="Q10" s="94">
        <v>12</v>
      </c>
      <c r="R10" s="94">
        <f>P10*Q10*$C10</f>
        <v>330220800</v>
      </c>
      <c r="S10" s="94">
        <f>F10+I10+L10+O10+R10</f>
        <v>1651104000</v>
      </c>
      <c r="T10" s="95"/>
    </row>
    <row r="11" spans="1:27" s="91" customFormat="1" hidden="1" x14ac:dyDescent="0.25">
      <c r="A11" s="84" t="s">
        <v>47</v>
      </c>
      <c r="B11" s="89" t="s">
        <v>18</v>
      </c>
      <c r="C11" s="90"/>
      <c r="D11" s="90">
        <f>'PL1'!M11</f>
        <v>0</v>
      </c>
      <c r="E11" s="90"/>
      <c r="F11" s="90">
        <f>SUBTOTAL(9,F12:F14)</f>
        <v>0</v>
      </c>
      <c r="G11" s="90">
        <f>D11</f>
        <v>0</v>
      </c>
      <c r="H11" s="90"/>
      <c r="I11" s="90">
        <f>SUBTOTAL(9,I12:I14)</f>
        <v>0</v>
      </c>
      <c r="J11" s="90">
        <f>D11</f>
        <v>0</v>
      </c>
      <c r="K11" s="90"/>
      <c r="L11" s="90">
        <f>SUBTOTAL(9,L12:L14)</f>
        <v>0</v>
      </c>
      <c r="M11" s="90">
        <f>D11</f>
        <v>0</v>
      </c>
      <c r="N11" s="90"/>
      <c r="O11" s="90">
        <f>SUBTOTAL(9,O12:O14)</f>
        <v>0</v>
      </c>
      <c r="P11" s="90">
        <f>D11</f>
        <v>0</v>
      </c>
      <c r="Q11" s="90"/>
      <c r="R11" s="90">
        <f>SUBTOTAL(9,R12:R14)</f>
        <v>0</v>
      </c>
      <c r="S11" s="90">
        <f>SUBTOTAL(9,S12:S14)</f>
        <v>0</v>
      </c>
      <c r="T11" s="95"/>
    </row>
    <row r="12" spans="1:27" hidden="1" x14ac:dyDescent="0.25">
      <c r="A12" s="92">
        <v>1</v>
      </c>
      <c r="B12" s="93" t="s">
        <v>206</v>
      </c>
      <c r="C12" s="94">
        <f>105300*12</f>
        <v>1263600</v>
      </c>
      <c r="D12" s="94">
        <f>D11</f>
        <v>0</v>
      </c>
      <c r="E12" s="94"/>
      <c r="F12" s="94">
        <f>D12*C12</f>
        <v>0</v>
      </c>
      <c r="G12" s="94">
        <f>G11</f>
        <v>0</v>
      </c>
      <c r="H12" s="94"/>
      <c r="I12" s="94">
        <f>G12*$C12</f>
        <v>0</v>
      </c>
      <c r="J12" s="94">
        <f>J11</f>
        <v>0</v>
      </c>
      <c r="K12" s="94"/>
      <c r="L12" s="94">
        <f>J12*$C12</f>
        <v>0</v>
      </c>
      <c r="M12" s="94">
        <f>M11</f>
        <v>0</v>
      </c>
      <c r="N12" s="94"/>
      <c r="O12" s="94">
        <f>M12*$C12</f>
        <v>0</v>
      </c>
      <c r="P12" s="94">
        <f>P11</f>
        <v>0</v>
      </c>
      <c r="Q12" s="94"/>
      <c r="R12" s="94">
        <f>P12*$C12</f>
        <v>0</v>
      </c>
      <c r="S12" s="94">
        <f>F12+I12+L12+O12+R12</f>
        <v>0</v>
      </c>
      <c r="T12" s="95"/>
    </row>
    <row r="13" spans="1:27" hidden="1" x14ac:dyDescent="0.25">
      <c r="A13" s="92">
        <v>2</v>
      </c>
      <c r="B13" s="93" t="s">
        <v>207</v>
      </c>
      <c r="C13" s="94">
        <f>2300000*22.5%*12</f>
        <v>6210000</v>
      </c>
      <c r="D13" s="94">
        <f>D11</f>
        <v>0</v>
      </c>
      <c r="E13" s="94"/>
      <c r="F13" s="94">
        <f>D13*C13</f>
        <v>0</v>
      </c>
      <c r="G13" s="94">
        <f>G11</f>
        <v>0</v>
      </c>
      <c r="H13" s="94"/>
      <c r="I13" s="94">
        <f>G13*$C13</f>
        <v>0</v>
      </c>
      <c r="J13" s="94">
        <f>J11</f>
        <v>0</v>
      </c>
      <c r="K13" s="94"/>
      <c r="L13" s="94">
        <f>J13*$C13</f>
        <v>0</v>
      </c>
      <c r="M13" s="94">
        <f>M11</f>
        <v>0</v>
      </c>
      <c r="N13" s="94"/>
      <c r="O13" s="94">
        <f>M13*$C13</f>
        <v>0</v>
      </c>
      <c r="P13" s="94">
        <f>P11</f>
        <v>0</v>
      </c>
      <c r="Q13" s="94"/>
      <c r="R13" s="94">
        <f>P13*$C13</f>
        <v>0</v>
      </c>
      <c r="S13" s="94">
        <f>F13+I13+L13+O13+R13</f>
        <v>0</v>
      </c>
      <c r="T13" s="95"/>
    </row>
    <row r="14" spans="1:27" ht="18" hidden="1" x14ac:dyDescent="0.25">
      <c r="A14" s="111">
        <v>3</v>
      </c>
      <c r="B14" s="112" t="s">
        <v>196</v>
      </c>
      <c r="C14" s="94">
        <f>4680000*2</f>
        <v>9360000</v>
      </c>
      <c r="D14" s="94">
        <f>D11*25%</f>
        <v>0</v>
      </c>
      <c r="E14" s="94"/>
      <c r="F14" s="94">
        <f>D14*C14</f>
        <v>0</v>
      </c>
      <c r="G14" s="94">
        <f>D14</f>
        <v>0</v>
      </c>
      <c r="H14" s="94"/>
      <c r="I14" s="94">
        <f>G14*$C14</f>
        <v>0</v>
      </c>
      <c r="J14" s="94">
        <f>D14</f>
        <v>0</v>
      </c>
      <c r="K14" s="94"/>
      <c r="L14" s="94">
        <f>J14*$C14</f>
        <v>0</v>
      </c>
      <c r="M14" s="94">
        <f>D14</f>
        <v>0</v>
      </c>
      <c r="N14" s="94"/>
      <c r="O14" s="94">
        <f>M14*$C14</f>
        <v>0</v>
      </c>
      <c r="P14" s="94">
        <f>D14</f>
        <v>0</v>
      </c>
      <c r="Q14" s="94"/>
      <c r="R14" s="94">
        <f>P14*$C14</f>
        <v>0</v>
      </c>
      <c r="S14" s="94">
        <f>F14+I14+L14+O14+R14</f>
        <v>0</v>
      </c>
      <c r="T14" s="99" t="s">
        <v>208</v>
      </c>
    </row>
    <row r="15" spans="1:27" s="91" customFormat="1" ht="14.25" x14ac:dyDescent="0.2">
      <c r="A15" s="84" t="s">
        <v>47</v>
      </c>
      <c r="B15" s="89" t="s">
        <v>293</v>
      </c>
      <c r="C15" s="90"/>
      <c r="D15" s="90">
        <v>28</v>
      </c>
      <c r="E15" s="90"/>
      <c r="F15" s="90">
        <f>SUBTOTAL(9,F16:F21)</f>
        <v>4473287780</v>
      </c>
      <c r="G15" s="90">
        <f>D15</f>
        <v>28</v>
      </c>
      <c r="H15" s="90"/>
      <c r="I15" s="90">
        <f>SUBTOTAL(9,I16:I21)</f>
        <v>4473287780</v>
      </c>
      <c r="J15" s="90">
        <f>D15</f>
        <v>28</v>
      </c>
      <c r="K15" s="90"/>
      <c r="L15" s="90">
        <f>SUBTOTAL(9,L16:L21)</f>
        <v>4473287780</v>
      </c>
      <c r="M15" s="90">
        <f>D15</f>
        <v>28</v>
      </c>
      <c r="N15" s="90"/>
      <c r="O15" s="90">
        <f>SUBTOTAL(9,O16:O21)</f>
        <v>4473287780</v>
      </c>
      <c r="P15" s="90">
        <f>D15</f>
        <v>28</v>
      </c>
      <c r="Q15" s="90"/>
      <c r="R15" s="90">
        <f>SUBTOTAL(9,R16:R21)</f>
        <v>4473287780</v>
      </c>
      <c r="S15" s="90">
        <f>SUBTOTAL(9,S16:S21)</f>
        <v>22366438900</v>
      </c>
      <c r="T15" s="101" t="s">
        <v>181</v>
      </c>
    </row>
    <row r="16" spans="1:27" x14ac:dyDescent="0.25">
      <c r="A16" s="92">
        <v>1</v>
      </c>
      <c r="B16" s="93" t="s">
        <v>134</v>
      </c>
      <c r="C16" s="94">
        <v>72000</v>
      </c>
      <c r="D16" s="94">
        <v>28</v>
      </c>
      <c r="E16" s="94">
        <v>365</v>
      </c>
      <c r="F16" s="94">
        <f>D16*E16*$C16</f>
        <v>735840000</v>
      </c>
      <c r="G16" s="94">
        <f>G15</f>
        <v>28</v>
      </c>
      <c r="H16" s="94">
        <v>365</v>
      </c>
      <c r="I16" s="94">
        <f>G16*H16*$C16</f>
        <v>735840000</v>
      </c>
      <c r="J16" s="94">
        <f>J15</f>
        <v>28</v>
      </c>
      <c r="K16" s="94">
        <v>365</v>
      </c>
      <c r="L16" s="94">
        <f>J16*K16*$C16</f>
        <v>735840000</v>
      </c>
      <c r="M16" s="94">
        <f>M15</f>
        <v>28</v>
      </c>
      <c r="N16" s="94">
        <v>365</v>
      </c>
      <c r="O16" s="94">
        <f>M16*N16*$C16</f>
        <v>735840000</v>
      </c>
      <c r="P16" s="94">
        <f>P15</f>
        <v>28</v>
      </c>
      <c r="Q16" s="94">
        <v>365</v>
      </c>
      <c r="R16" s="94">
        <f>P16*Q16*$C16</f>
        <v>735840000</v>
      </c>
      <c r="S16" s="94">
        <f t="shared" ref="S16:S21" si="1">F16+I16+L16+O16+R16</f>
        <v>3679200000</v>
      </c>
      <c r="T16" s="95"/>
    </row>
    <row r="17" spans="1:20" x14ac:dyDescent="0.25">
      <c r="A17" s="92">
        <v>2</v>
      </c>
      <c r="B17" s="93" t="s">
        <v>205</v>
      </c>
      <c r="C17" s="94">
        <v>327600</v>
      </c>
      <c r="D17" s="94">
        <f>D15</f>
        <v>28</v>
      </c>
      <c r="E17" s="94">
        <v>365</v>
      </c>
      <c r="F17" s="94">
        <f>D17*E17*$C17</f>
        <v>3348072000</v>
      </c>
      <c r="G17" s="94">
        <f>G15</f>
        <v>28</v>
      </c>
      <c r="H17" s="94">
        <v>365</v>
      </c>
      <c r="I17" s="94">
        <f>G17*H17*$C17</f>
        <v>3348072000</v>
      </c>
      <c r="J17" s="94">
        <f>J15</f>
        <v>28</v>
      </c>
      <c r="K17" s="94">
        <v>365</v>
      </c>
      <c r="L17" s="94">
        <f>J17*K17*$C17</f>
        <v>3348072000</v>
      </c>
      <c r="M17" s="94">
        <f>M15</f>
        <v>28</v>
      </c>
      <c r="N17" s="94">
        <v>365</v>
      </c>
      <c r="O17" s="94">
        <f>M17*N17*$C17</f>
        <v>3348072000</v>
      </c>
      <c r="P17" s="94">
        <f>P15</f>
        <v>28</v>
      </c>
      <c r="Q17" s="94">
        <v>365</v>
      </c>
      <c r="R17" s="94">
        <f>P17*Q17*$C17</f>
        <v>3348072000</v>
      </c>
      <c r="S17" s="94">
        <f t="shared" si="1"/>
        <v>16740360000</v>
      </c>
      <c r="T17" s="95"/>
    </row>
    <row r="18" spans="1:20" x14ac:dyDescent="0.25">
      <c r="A18" s="92">
        <v>3</v>
      </c>
      <c r="B18" s="93" t="s">
        <v>364</v>
      </c>
      <c r="C18" s="94">
        <v>134452</v>
      </c>
      <c r="D18" s="94">
        <v>28</v>
      </c>
      <c r="E18" s="94">
        <v>365</v>
      </c>
      <c r="F18" s="94">
        <f>C18*E18</f>
        <v>49074980</v>
      </c>
      <c r="G18" s="94">
        <f>G16</f>
        <v>28</v>
      </c>
      <c r="H18" s="94">
        <v>365</v>
      </c>
      <c r="I18" s="94">
        <f>H18*C18</f>
        <v>49074980</v>
      </c>
      <c r="J18" s="94">
        <f>J16</f>
        <v>28</v>
      </c>
      <c r="K18" s="94">
        <v>365</v>
      </c>
      <c r="L18" s="94">
        <f>F18</f>
        <v>49074980</v>
      </c>
      <c r="M18" s="94">
        <f>M16</f>
        <v>28</v>
      </c>
      <c r="N18" s="94">
        <v>365</v>
      </c>
      <c r="O18" s="94">
        <f>F18</f>
        <v>49074980</v>
      </c>
      <c r="P18" s="94">
        <f>P16</f>
        <v>28</v>
      </c>
      <c r="Q18" s="94">
        <v>365</v>
      </c>
      <c r="R18" s="94">
        <f>F18</f>
        <v>49074980</v>
      </c>
      <c r="S18" s="94">
        <f t="shared" si="1"/>
        <v>245374900</v>
      </c>
      <c r="T18" s="95"/>
    </row>
    <row r="19" spans="1:20" x14ac:dyDescent="0.25">
      <c r="A19" s="92">
        <v>4</v>
      </c>
      <c r="B19" s="93" t="s">
        <v>206</v>
      </c>
      <c r="C19" s="94">
        <f>105300*12</f>
        <v>1263600</v>
      </c>
      <c r="D19" s="94">
        <f>D15</f>
        <v>28</v>
      </c>
      <c r="F19" s="94">
        <f>D19*$C19</f>
        <v>35380800</v>
      </c>
      <c r="G19" s="94">
        <f>G15</f>
        <v>28</v>
      </c>
      <c r="H19" s="94"/>
      <c r="I19" s="94">
        <f>G19*$C19</f>
        <v>35380800</v>
      </c>
      <c r="J19" s="94">
        <f>J15</f>
        <v>28</v>
      </c>
      <c r="K19" s="94"/>
      <c r="L19" s="94">
        <f>J19*$C19</f>
        <v>35380800</v>
      </c>
      <c r="M19" s="94">
        <f>M15</f>
        <v>28</v>
      </c>
      <c r="N19" s="94"/>
      <c r="O19" s="94">
        <f>M19*$C19</f>
        <v>35380800</v>
      </c>
      <c r="P19" s="94">
        <f>P15</f>
        <v>28</v>
      </c>
      <c r="Q19" s="94"/>
      <c r="R19" s="94">
        <f>P19*$C19</f>
        <v>35380800</v>
      </c>
      <c r="S19" s="94">
        <f t="shared" si="1"/>
        <v>176904000</v>
      </c>
      <c r="T19" s="95"/>
    </row>
    <row r="20" spans="1:20" x14ac:dyDescent="0.25">
      <c r="A20" s="92">
        <v>5</v>
      </c>
      <c r="B20" s="93" t="s">
        <v>207</v>
      </c>
      <c r="C20" s="94">
        <f>2300000*22.5%*12</f>
        <v>6210000</v>
      </c>
      <c r="D20" s="94">
        <f>D16</f>
        <v>28</v>
      </c>
      <c r="E20" s="94"/>
      <c r="F20" s="94">
        <f>D20*$C20</f>
        <v>173880000</v>
      </c>
      <c r="G20" s="94">
        <f>G16</f>
        <v>28</v>
      </c>
      <c r="H20" s="94"/>
      <c r="I20" s="94">
        <f>G20*$C20</f>
        <v>173880000</v>
      </c>
      <c r="J20" s="94">
        <f>J16</f>
        <v>28</v>
      </c>
      <c r="K20" s="94"/>
      <c r="L20" s="94">
        <f>J20*$C20</f>
        <v>173880000</v>
      </c>
      <c r="M20" s="94">
        <f>M16</f>
        <v>28</v>
      </c>
      <c r="N20" s="94"/>
      <c r="O20" s="94">
        <f>M20*$C20</f>
        <v>173880000</v>
      </c>
      <c r="P20" s="94">
        <f>P16</f>
        <v>28</v>
      </c>
      <c r="Q20" s="94"/>
      <c r="R20" s="94">
        <f>P20*$C20</f>
        <v>173880000</v>
      </c>
      <c r="S20" s="94">
        <f t="shared" si="1"/>
        <v>869400000</v>
      </c>
      <c r="T20" s="95"/>
    </row>
    <row r="21" spans="1:20" x14ac:dyDescent="0.25">
      <c r="A21" s="92">
        <v>6</v>
      </c>
      <c r="B21" s="93" t="s">
        <v>260</v>
      </c>
      <c r="C21" s="94">
        <f>4680000*2</f>
        <v>9360000</v>
      </c>
      <c r="D21" s="94">
        <f>ROUND(D15*25%,0)</f>
        <v>7</v>
      </c>
      <c r="E21" s="94"/>
      <c r="F21" s="94">
        <f>D21*$C21*2</f>
        <v>131040000</v>
      </c>
      <c r="G21" s="94">
        <f>D21</f>
        <v>7</v>
      </c>
      <c r="H21" s="94"/>
      <c r="I21" s="94">
        <f>G21*$C21*2</f>
        <v>131040000</v>
      </c>
      <c r="J21" s="94">
        <f>D21</f>
        <v>7</v>
      </c>
      <c r="K21" s="94"/>
      <c r="L21" s="94">
        <f>J21*$C21*2</f>
        <v>131040000</v>
      </c>
      <c r="M21" s="94">
        <f>D21</f>
        <v>7</v>
      </c>
      <c r="N21" s="94"/>
      <c r="O21" s="94">
        <f>M21*$C21*2</f>
        <v>131040000</v>
      </c>
      <c r="P21" s="94">
        <f>D21</f>
        <v>7</v>
      </c>
      <c r="Q21" s="94"/>
      <c r="R21" s="94">
        <f>P21*$C21*2</f>
        <v>131040000</v>
      </c>
      <c r="S21" s="94">
        <f t="shared" si="1"/>
        <v>655200000</v>
      </c>
      <c r="T21" s="95"/>
    </row>
    <row r="22" spans="1:20" s="91" customFormat="1" x14ac:dyDescent="0.25">
      <c r="A22" s="84" t="s">
        <v>48</v>
      </c>
      <c r="B22" s="89" t="s">
        <v>147</v>
      </c>
      <c r="C22" s="90"/>
      <c r="D22" s="90">
        <f>PL2A!E35</f>
        <v>692</v>
      </c>
      <c r="E22" s="90"/>
      <c r="F22" s="90">
        <f>SUBTOTAL(9,F23:F24)</f>
        <v>1935662400</v>
      </c>
      <c r="G22" s="90">
        <f>D22</f>
        <v>692</v>
      </c>
      <c r="H22" s="90"/>
      <c r="I22" s="90">
        <f>SUBTOTAL(9,I23:I24)</f>
        <v>1935662400</v>
      </c>
      <c r="J22" s="90">
        <f>G22</f>
        <v>692</v>
      </c>
      <c r="K22" s="90"/>
      <c r="L22" s="90">
        <f>SUBTOTAL(9,L23:L24)</f>
        <v>1935662400</v>
      </c>
      <c r="M22" s="90">
        <f>G22</f>
        <v>692</v>
      </c>
      <c r="N22" s="90"/>
      <c r="O22" s="90">
        <f>SUBTOTAL(9,O23:O24)</f>
        <v>1935662400</v>
      </c>
      <c r="P22" s="90">
        <f>G22</f>
        <v>692</v>
      </c>
      <c r="Q22" s="90"/>
      <c r="R22" s="90">
        <f>SUBTOTAL(9,R23:R24)</f>
        <v>1935662400</v>
      </c>
      <c r="S22" s="90">
        <f>SUBTOTAL(9,S23:S24)</f>
        <v>9678312000</v>
      </c>
      <c r="T22" s="95" t="s">
        <v>261</v>
      </c>
    </row>
    <row r="23" spans="1:20" x14ac:dyDescent="0.25">
      <c r="A23" s="92">
        <v>1</v>
      </c>
      <c r="B23" s="93" t="s">
        <v>134</v>
      </c>
      <c r="C23" s="94">
        <v>72000</v>
      </c>
      <c r="D23" s="94">
        <f>D22</f>
        <v>692</v>
      </c>
      <c r="E23" s="94">
        <v>7</v>
      </c>
      <c r="F23" s="94">
        <f>D23*E23*$C23</f>
        <v>348768000</v>
      </c>
      <c r="G23" s="94">
        <f>G22</f>
        <v>692</v>
      </c>
      <c r="H23" s="94">
        <v>7</v>
      </c>
      <c r="I23" s="94">
        <f>G23*H23*$C23</f>
        <v>348768000</v>
      </c>
      <c r="J23" s="94">
        <f>J22</f>
        <v>692</v>
      </c>
      <c r="K23" s="94">
        <v>7</v>
      </c>
      <c r="L23" s="94">
        <f>J23*K23*$C23</f>
        <v>348768000</v>
      </c>
      <c r="M23" s="94">
        <f>M22</f>
        <v>692</v>
      </c>
      <c r="N23" s="94">
        <v>7</v>
      </c>
      <c r="O23" s="94">
        <f>M23*N23*$C23</f>
        <v>348768000</v>
      </c>
      <c r="P23" s="94">
        <f>P22</f>
        <v>692</v>
      </c>
      <c r="Q23" s="94">
        <v>7</v>
      </c>
      <c r="R23" s="94">
        <f>P23*Q23*$C23</f>
        <v>348768000</v>
      </c>
      <c r="S23" s="94">
        <f t="shared" ref="S23:S24" si="2">F23+I23+L23+O23+R23</f>
        <v>1743840000</v>
      </c>
      <c r="T23" s="95"/>
    </row>
    <row r="24" spans="1:20" x14ac:dyDescent="0.25">
      <c r="A24" s="92">
        <v>2</v>
      </c>
      <c r="B24" s="93" t="s">
        <v>205</v>
      </c>
      <c r="C24" s="94">
        <v>327600</v>
      </c>
      <c r="D24" s="94">
        <f>D22</f>
        <v>692</v>
      </c>
      <c r="E24" s="94">
        <v>7</v>
      </c>
      <c r="F24" s="94">
        <f>D24*E24*$C24</f>
        <v>1586894400</v>
      </c>
      <c r="G24" s="94">
        <f>G22</f>
        <v>692</v>
      </c>
      <c r="H24" s="94">
        <v>7</v>
      </c>
      <c r="I24" s="94">
        <f>G24*H24*$C24</f>
        <v>1586894400</v>
      </c>
      <c r="J24" s="94">
        <f>J22</f>
        <v>692</v>
      </c>
      <c r="K24" s="94">
        <v>7</v>
      </c>
      <c r="L24" s="94">
        <f>J24*K24*$C24</f>
        <v>1586894400</v>
      </c>
      <c r="M24" s="94">
        <f>M22</f>
        <v>692</v>
      </c>
      <c r="N24" s="94">
        <v>7</v>
      </c>
      <c r="O24" s="94">
        <f>M24*N24*$C24</f>
        <v>1586894400</v>
      </c>
      <c r="P24" s="94">
        <f>P22</f>
        <v>692</v>
      </c>
      <c r="Q24" s="94">
        <v>7</v>
      </c>
      <c r="R24" s="94">
        <f>P24*Q24*$C24</f>
        <v>1586894400</v>
      </c>
      <c r="S24" s="94">
        <f t="shared" si="2"/>
        <v>7934472000</v>
      </c>
      <c r="T24" s="95"/>
    </row>
    <row r="25" spans="1:20" s="91" customFormat="1" x14ac:dyDescent="0.25">
      <c r="A25" s="84" t="s">
        <v>214</v>
      </c>
      <c r="B25" s="89" t="s">
        <v>215</v>
      </c>
      <c r="C25" s="90"/>
      <c r="D25" s="90">
        <f>D26</f>
        <v>390</v>
      </c>
      <c r="E25" s="90">
        <f>E26</f>
        <v>0</v>
      </c>
      <c r="F25" s="90">
        <f>SUBTOTAL(9,F26:F28)</f>
        <v>2181816000</v>
      </c>
      <c r="G25" s="90">
        <f>G26</f>
        <v>0</v>
      </c>
      <c r="H25" s="90">
        <f>H26</f>
        <v>0</v>
      </c>
      <c r="I25" s="90">
        <f>SUBTOTAL(9,I26:I28)</f>
        <v>0</v>
      </c>
      <c r="J25" s="90">
        <f>J26</f>
        <v>0</v>
      </c>
      <c r="K25" s="90">
        <f>K26</f>
        <v>0</v>
      </c>
      <c r="L25" s="90">
        <f>SUBTOTAL(9,L26:L28)</f>
        <v>0</v>
      </c>
      <c r="M25" s="90">
        <f>M26</f>
        <v>390</v>
      </c>
      <c r="N25" s="90">
        <f>N26</f>
        <v>0</v>
      </c>
      <c r="O25" s="90">
        <f>SUBTOTAL(9,O26:O28)</f>
        <v>2181816000</v>
      </c>
      <c r="P25" s="90">
        <f>P26</f>
        <v>0</v>
      </c>
      <c r="Q25" s="90">
        <f>Q26</f>
        <v>0</v>
      </c>
      <c r="R25" s="90">
        <f>SUBTOTAL(9,R26:R28)</f>
        <v>0</v>
      </c>
      <c r="S25" s="90">
        <f>SUBTOTAL(9,S26:S28)</f>
        <v>4363632000</v>
      </c>
      <c r="T25" s="95"/>
    </row>
    <row r="26" spans="1:20" s="91" customFormat="1" ht="14.25" x14ac:dyDescent="0.2">
      <c r="A26" s="84" t="s">
        <v>35</v>
      </c>
      <c r="B26" s="89" t="s">
        <v>346</v>
      </c>
      <c r="C26" s="90"/>
      <c r="D26" s="90">
        <v>390</v>
      </c>
      <c r="E26" s="90"/>
      <c r="F26" s="90">
        <f>SUBTOTAL(9,F27:F28)</f>
        <v>2181816000</v>
      </c>
      <c r="G26" s="90"/>
      <c r="H26" s="90"/>
      <c r="I26" s="90">
        <f>SUBTOTAL(9,I27:I28)</f>
        <v>0</v>
      </c>
      <c r="J26" s="90"/>
      <c r="K26" s="90"/>
      <c r="L26" s="90">
        <f>SUBTOTAL(9,L27:L28)</f>
        <v>0</v>
      </c>
      <c r="M26" s="90">
        <f>D26</f>
        <v>390</v>
      </c>
      <c r="N26" s="90"/>
      <c r="O26" s="90">
        <f>SUBTOTAL(9,O27:O28)</f>
        <v>2181816000</v>
      </c>
      <c r="P26" s="90"/>
      <c r="Q26" s="90"/>
      <c r="R26" s="90">
        <f>SUBTOTAL(9,R27:R28)</f>
        <v>0</v>
      </c>
      <c r="S26" s="90">
        <f>SUBTOTAL(9,S27:S28)</f>
        <v>4363632000</v>
      </c>
      <c r="T26" s="100" t="s">
        <v>307</v>
      </c>
    </row>
    <row r="27" spans="1:20" x14ac:dyDescent="0.25">
      <c r="A27" s="92">
        <v>1</v>
      </c>
      <c r="B27" s="93" t="s">
        <v>134</v>
      </c>
      <c r="C27" s="94">
        <v>72000</v>
      </c>
      <c r="D27" s="94">
        <v>390</v>
      </c>
      <c r="E27" s="94">
        <v>14</v>
      </c>
      <c r="F27" s="94">
        <f>D27*E27*$C27</f>
        <v>393120000</v>
      </c>
      <c r="G27" s="94">
        <f>G26</f>
        <v>0</v>
      </c>
      <c r="H27" s="94"/>
      <c r="I27" s="94">
        <f>G27*H27*$C27</f>
        <v>0</v>
      </c>
      <c r="J27" s="94">
        <f>J26</f>
        <v>0</v>
      </c>
      <c r="K27" s="94"/>
      <c r="L27" s="94">
        <f>J27*K27*$C27</f>
        <v>0</v>
      </c>
      <c r="M27" s="94">
        <f>M26</f>
        <v>390</v>
      </c>
      <c r="N27" s="94">
        <v>14</v>
      </c>
      <c r="O27" s="94">
        <f>M27*N27*$C27</f>
        <v>393120000</v>
      </c>
      <c r="P27" s="94"/>
      <c r="Q27" s="94"/>
      <c r="R27" s="94">
        <f>P27*Q27*$C27</f>
        <v>0</v>
      </c>
      <c r="S27" s="94">
        <f>F27+I27+L27+O27+R27</f>
        <v>786240000</v>
      </c>
      <c r="T27" s="101"/>
    </row>
    <row r="28" spans="1:20" x14ac:dyDescent="0.25">
      <c r="A28" s="92">
        <v>2</v>
      </c>
      <c r="B28" s="93" t="s">
        <v>205</v>
      </c>
      <c r="C28" s="94">
        <v>327600</v>
      </c>
      <c r="D28" s="94">
        <f>D27</f>
        <v>390</v>
      </c>
      <c r="E28" s="94">
        <v>14</v>
      </c>
      <c r="F28" s="94">
        <f>D28*E28*$C28</f>
        <v>1788696000</v>
      </c>
      <c r="G28" s="94">
        <f>G27</f>
        <v>0</v>
      </c>
      <c r="H28" s="94"/>
      <c r="I28" s="94">
        <f>G28*H28*$C28</f>
        <v>0</v>
      </c>
      <c r="J28" s="94">
        <f>J27</f>
        <v>0</v>
      </c>
      <c r="K28" s="94"/>
      <c r="L28" s="94">
        <f>J28*K28*$C28</f>
        <v>0</v>
      </c>
      <c r="M28" s="94">
        <f>M27</f>
        <v>390</v>
      </c>
      <c r="N28" s="94">
        <v>14</v>
      </c>
      <c r="O28" s="94">
        <f>M28*N28*$C28</f>
        <v>1788696000</v>
      </c>
      <c r="P28" s="94"/>
      <c r="Q28" s="94"/>
      <c r="R28" s="94">
        <f>P28*Q28*$C28</f>
        <v>0</v>
      </c>
      <c r="S28" s="94">
        <f>F28+I28+L28+O28+R28</f>
        <v>3577392000</v>
      </c>
      <c r="T28" s="95"/>
    </row>
    <row r="29" spans="1:20" s="91" customFormat="1" ht="14.25" x14ac:dyDescent="0.2">
      <c r="A29" s="84" t="s">
        <v>219</v>
      </c>
      <c r="B29" s="89" t="s">
        <v>220</v>
      </c>
      <c r="C29" s="90"/>
      <c r="D29" s="90">
        <f>D30+D33+D36</f>
        <v>0</v>
      </c>
      <c r="E29" s="90"/>
      <c r="F29" s="90">
        <f>SUBTOTAL(9,F30:F39)</f>
        <v>0</v>
      </c>
      <c r="G29" s="90">
        <f>G30+G33+G36</f>
        <v>20</v>
      </c>
      <c r="H29" s="90"/>
      <c r="I29" s="90">
        <f>SUBTOTAL(9,I30:I39)</f>
        <v>23976000</v>
      </c>
      <c r="J29" s="90">
        <f>J30+J33+J36</f>
        <v>20</v>
      </c>
      <c r="K29" s="90"/>
      <c r="L29" s="90">
        <f>SUBTOTAL(9,L30:L39)</f>
        <v>23976000</v>
      </c>
      <c r="M29" s="90">
        <f>M30+M33+M36</f>
        <v>20</v>
      </c>
      <c r="N29" s="90"/>
      <c r="O29" s="90">
        <f>SUBTOTAL(9,O30:O39)</f>
        <v>23976000</v>
      </c>
      <c r="P29" s="90">
        <f>P30+P33+P36</f>
        <v>20</v>
      </c>
      <c r="Q29" s="90"/>
      <c r="R29" s="90">
        <f>SUBTOTAL(9,R30:R39)</f>
        <v>23976000</v>
      </c>
      <c r="S29" s="90">
        <f>SUBTOTAL(9,S30:S39)</f>
        <v>95904000</v>
      </c>
      <c r="T29" s="100"/>
    </row>
    <row r="30" spans="1:20" s="91" customFormat="1" ht="14.25" x14ac:dyDescent="0.2">
      <c r="A30" s="84">
        <v>1</v>
      </c>
      <c r="B30" s="89" t="s">
        <v>347</v>
      </c>
      <c r="C30" s="90"/>
      <c r="D30" s="90"/>
      <c r="E30" s="90"/>
      <c r="F30" s="90">
        <f>SUBTOTAL(9,F31:F32)</f>
        <v>0</v>
      </c>
      <c r="G30" s="90">
        <f>G31</f>
        <v>20</v>
      </c>
      <c r="H30" s="90"/>
      <c r="I30" s="90">
        <f>SUBTOTAL(9,I31:I32)</f>
        <v>23976000</v>
      </c>
      <c r="J30" s="90">
        <f>G30</f>
        <v>20</v>
      </c>
      <c r="K30" s="90"/>
      <c r="L30" s="90">
        <f>SUBTOTAL(9,L31:L32)</f>
        <v>23976000</v>
      </c>
      <c r="M30" s="90">
        <f>G30</f>
        <v>20</v>
      </c>
      <c r="N30" s="90"/>
      <c r="O30" s="90">
        <f>SUBTOTAL(9,O31:O32)</f>
        <v>23976000</v>
      </c>
      <c r="P30" s="90">
        <f>G30</f>
        <v>20</v>
      </c>
      <c r="Q30" s="90"/>
      <c r="R30" s="90">
        <f>SUBTOTAL(9,R31:R32)</f>
        <v>23976000</v>
      </c>
      <c r="S30" s="90">
        <f>SUBTOTAL(9,S31:S32)</f>
        <v>95904000</v>
      </c>
      <c r="T30" s="100"/>
    </row>
    <row r="31" spans="1:20" x14ac:dyDescent="0.25">
      <c r="A31" s="92" t="s">
        <v>75</v>
      </c>
      <c r="B31" s="93" t="s">
        <v>134</v>
      </c>
      <c r="C31" s="94">
        <v>72000</v>
      </c>
      <c r="D31" s="94"/>
      <c r="E31" s="94"/>
      <c r="F31" s="94">
        <f>D31*E31*$C31</f>
        <v>0</v>
      </c>
      <c r="G31" s="94">
        <v>20</v>
      </c>
      <c r="H31" s="94">
        <v>3</v>
      </c>
      <c r="I31" s="94">
        <f>G31*H31*$C31</f>
        <v>4320000</v>
      </c>
      <c r="J31" s="94">
        <f>G31</f>
        <v>20</v>
      </c>
      <c r="K31" s="94">
        <v>3</v>
      </c>
      <c r="L31" s="94">
        <f>J31*K31*$C31</f>
        <v>4320000</v>
      </c>
      <c r="M31" s="94">
        <f>G31</f>
        <v>20</v>
      </c>
      <c r="N31" s="94">
        <v>3</v>
      </c>
      <c r="O31" s="94">
        <f>M31*N31*$C31</f>
        <v>4320000</v>
      </c>
      <c r="P31" s="94">
        <f>G31</f>
        <v>20</v>
      </c>
      <c r="Q31" s="94">
        <f>N31</f>
        <v>3</v>
      </c>
      <c r="R31" s="94">
        <f>P31*Q31*$C31</f>
        <v>4320000</v>
      </c>
      <c r="S31" s="94">
        <f>F31+I31+L31+O31+R31</f>
        <v>17280000</v>
      </c>
      <c r="T31" s="100" t="s">
        <v>331</v>
      </c>
    </row>
    <row r="32" spans="1:20" x14ac:dyDescent="0.25">
      <c r="A32" s="92" t="s">
        <v>75</v>
      </c>
      <c r="B32" s="93" t="s">
        <v>205</v>
      </c>
      <c r="C32" s="94">
        <v>327600</v>
      </c>
      <c r="D32" s="94"/>
      <c r="E32" s="94"/>
      <c r="F32" s="94">
        <f>D32*E32*$C32</f>
        <v>0</v>
      </c>
      <c r="G32" s="94">
        <f>G31</f>
        <v>20</v>
      </c>
      <c r="H32" s="94">
        <v>3</v>
      </c>
      <c r="I32" s="94">
        <f>G32*H32*$C32</f>
        <v>19656000</v>
      </c>
      <c r="J32" s="94">
        <f>G32</f>
        <v>20</v>
      </c>
      <c r="K32" s="94">
        <v>3</v>
      </c>
      <c r="L32" s="94">
        <f>J32*K32*$C32</f>
        <v>19656000</v>
      </c>
      <c r="M32" s="94">
        <f>G32</f>
        <v>20</v>
      </c>
      <c r="N32" s="94">
        <v>3</v>
      </c>
      <c r="O32" s="94">
        <f>M32*N32*$C32</f>
        <v>19656000</v>
      </c>
      <c r="P32" s="94">
        <f>G32</f>
        <v>20</v>
      </c>
      <c r="Q32" s="94">
        <f>H32</f>
        <v>3</v>
      </c>
      <c r="R32" s="94">
        <f>P32*Q32*$C32</f>
        <v>19656000</v>
      </c>
      <c r="S32" s="94">
        <f>F32+I32+L32+O32+R32</f>
        <v>78624000</v>
      </c>
      <c r="T32" s="100"/>
    </row>
    <row r="33" spans="1:21" s="91" customFormat="1" ht="14.25" hidden="1" x14ac:dyDescent="0.2">
      <c r="A33" s="84">
        <v>2</v>
      </c>
      <c r="B33" s="89" t="s">
        <v>197</v>
      </c>
      <c r="C33" s="90"/>
      <c r="D33" s="90"/>
      <c r="E33" s="90"/>
      <c r="F33" s="90">
        <f>SUBTOTAL(9,F34:F35)</f>
        <v>0</v>
      </c>
      <c r="G33" s="90">
        <f>G34</f>
        <v>0</v>
      </c>
      <c r="H33" s="90"/>
      <c r="I33" s="90">
        <f>SUBTOTAL(9,I34:I35)</f>
        <v>0</v>
      </c>
      <c r="J33" s="90">
        <f>D33</f>
        <v>0</v>
      </c>
      <c r="K33" s="90"/>
      <c r="L33" s="90">
        <f>SUBTOTAL(9,L34:L35)</f>
        <v>0</v>
      </c>
      <c r="M33" s="90"/>
      <c r="N33" s="90"/>
      <c r="O33" s="90">
        <f>SUBTOTAL(9,O34:O35)</f>
        <v>0</v>
      </c>
      <c r="P33" s="90"/>
      <c r="Q33" s="90"/>
      <c r="R33" s="90">
        <f>SUBTOTAL(9,R34:R35)</f>
        <v>0</v>
      </c>
      <c r="S33" s="90">
        <f>SUBTOTAL(9,S34:S35)</f>
        <v>0</v>
      </c>
      <c r="T33" s="100"/>
    </row>
    <row r="34" spans="1:21" ht="26.25" hidden="1" customHeight="1" x14ac:dyDescent="0.25">
      <c r="A34" s="92" t="s">
        <v>75</v>
      </c>
      <c r="B34" s="93" t="s">
        <v>134</v>
      </c>
      <c r="C34" s="94">
        <v>72000</v>
      </c>
      <c r="D34" s="94">
        <f>D33</f>
        <v>0</v>
      </c>
      <c r="E34" s="94"/>
      <c r="F34" s="94">
        <f>D34*E34*$C34</f>
        <v>0</v>
      </c>
      <c r="G34" s="94"/>
      <c r="H34" s="94"/>
      <c r="I34" s="94">
        <f>G34*H34*$C34</f>
        <v>0</v>
      </c>
      <c r="J34" s="94">
        <f>J33</f>
        <v>0</v>
      </c>
      <c r="K34" s="94"/>
      <c r="L34" s="94">
        <f>J34*K34*$C34</f>
        <v>0</v>
      </c>
      <c r="M34" s="94"/>
      <c r="N34" s="94"/>
      <c r="O34" s="94">
        <f>M34*N34*$C34</f>
        <v>0</v>
      </c>
      <c r="P34" s="94"/>
      <c r="Q34" s="94"/>
      <c r="R34" s="94">
        <f>P34*Q34*$C34</f>
        <v>0</v>
      </c>
      <c r="S34" s="94">
        <f>F34+I34+L34+O34+R34</f>
        <v>0</v>
      </c>
      <c r="T34" s="105"/>
    </row>
    <row r="35" spans="1:21" hidden="1" x14ac:dyDescent="0.25">
      <c r="A35" s="92" t="s">
        <v>75</v>
      </c>
      <c r="B35" s="93" t="s">
        <v>205</v>
      </c>
      <c r="C35" s="94">
        <v>327600</v>
      </c>
      <c r="D35" s="94">
        <f>D34</f>
        <v>0</v>
      </c>
      <c r="E35" s="94"/>
      <c r="F35" s="94">
        <f>D35*E35*$C35</f>
        <v>0</v>
      </c>
      <c r="G35" s="94"/>
      <c r="H35" s="94"/>
      <c r="I35" s="94">
        <f>G35*H35*$C35</f>
        <v>0</v>
      </c>
      <c r="J35" s="94">
        <f>J34</f>
        <v>0</v>
      </c>
      <c r="K35" s="94"/>
      <c r="L35" s="94">
        <f>J35*K35*$C35</f>
        <v>0</v>
      </c>
      <c r="M35" s="94"/>
      <c r="N35" s="94"/>
      <c r="O35" s="94">
        <f>M35*N35*$C35</f>
        <v>0</v>
      </c>
      <c r="P35" s="94"/>
      <c r="Q35" s="94"/>
      <c r="R35" s="94">
        <f>P35*Q35*$C35</f>
        <v>0</v>
      </c>
      <c r="S35" s="94">
        <f>F35+I35+L35+O35+R35</f>
        <v>0</v>
      </c>
      <c r="T35" s="100"/>
    </row>
    <row r="36" spans="1:21" s="91" customFormat="1" ht="14.25" hidden="1" x14ac:dyDescent="0.2">
      <c r="A36" s="84">
        <v>3</v>
      </c>
      <c r="B36" s="89" t="s">
        <v>198</v>
      </c>
      <c r="C36" s="90"/>
      <c r="D36" s="90"/>
      <c r="E36" s="90"/>
      <c r="F36" s="90">
        <f>SUBTOTAL(9,F37:F39)</f>
        <v>0</v>
      </c>
      <c r="G36" s="90"/>
      <c r="H36" s="90"/>
      <c r="I36" s="90">
        <f>SUBTOTAL(9,I37:I39)</f>
        <v>0</v>
      </c>
      <c r="J36" s="90">
        <f>D36</f>
        <v>0</v>
      </c>
      <c r="K36" s="90"/>
      <c r="L36" s="90">
        <f>SUBTOTAL(9,L37:L39)</f>
        <v>0</v>
      </c>
      <c r="M36" s="90">
        <f>M37</f>
        <v>0</v>
      </c>
      <c r="N36" s="90"/>
      <c r="O36" s="90">
        <f>SUBTOTAL(9,O37:O39)</f>
        <v>0</v>
      </c>
      <c r="P36" s="90">
        <f>D36</f>
        <v>0</v>
      </c>
      <c r="Q36" s="90"/>
      <c r="R36" s="90">
        <f>SUBTOTAL(9,R37:R39)</f>
        <v>0</v>
      </c>
      <c r="S36" s="90">
        <f>SUBTOTAL(9,S37:S39)</f>
        <v>0</v>
      </c>
      <c r="T36" s="100"/>
    </row>
    <row r="37" spans="1:21" hidden="1" x14ac:dyDescent="0.25">
      <c r="A37" s="92" t="s">
        <v>75</v>
      </c>
      <c r="B37" s="93" t="s">
        <v>134</v>
      </c>
      <c r="C37" s="94">
        <v>72000</v>
      </c>
      <c r="D37" s="94"/>
      <c r="E37" s="94"/>
      <c r="F37" s="94">
        <f>D37*E37*$C37</f>
        <v>0</v>
      </c>
      <c r="G37" s="94">
        <f>G36</f>
        <v>0</v>
      </c>
      <c r="H37" s="94"/>
      <c r="I37" s="94">
        <f>G37*H37*$C37</f>
        <v>0</v>
      </c>
      <c r="J37" s="94"/>
      <c r="K37" s="94"/>
      <c r="L37" s="94">
        <f>J37*K37*$C37</f>
        <v>0</v>
      </c>
      <c r="M37" s="94"/>
      <c r="N37" s="94"/>
      <c r="O37" s="94">
        <f>M37*N37*$C37</f>
        <v>0</v>
      </c>
      <c r="P37" s="94"/>
      <c r="Q37" s="94"/>
      <c r="R37" s="94">
        <f>P37*Q37*$C37</f>
        <v>0</v>
      </c>
      <c r="S37" s="94">
        <f>F37+I37+L37+O37+R37</f>
        <v>0</v>
      </c>
      <c r="T37" s="100"/>
    </row>
    <row r="38" spans="1:21" hidden="1" x14ac:dyDescent="0.25">
      <c r="A38" s="92" t="s">
        <v>75</v>
      </c>
      <c r="B38" s="93" t="s">
        <v>205</v>
      </c>
      <c r="C38" s="94">
        <v>327600</v>
      </c>
      <c r="D38" s="94"/>
      <c r="E38" s="94"/>
      <c r="F38" s="94">
        <f>D38*E38*$C38</f>
        <v>0</v>
      </c>
      <c r="G38" s="94">
        <f>G36</f>
        <v>0</v>
      </c>
      <c r="H38" s="94"/>
      <c r="I38" s="94">
        <f>G38*H38*$C38</f>
        <v>0</v>
      </c>
      <c r="J38" s="94"/>
      <c r="K38" s="94"/>
      <c r="L38" s="94">
        <f>J38*K38*$C38</f>
        <v>0</v>
      </c>
      <c r="M38" s="94"/>
      <c r="N38" s="94"/>
      <c r="O38" s="94">
        <f>M38*N38*$C38</f>
        <v>0</v>
      </c>
      <c r="P38" s="94"/>
      <c r="Q38" s="94"/>
      <c r="R38" s="94">
        <f>P38*Q38*$C38</f>
        <v>0</v>
      </c>
      <c r="S38" s="94">
        <f>F38+I38+L38+O38+R38</f>
        <v>0</v>
      </c>
      <c r="T38" s="100"/>
    </row>
    <row r="39" spans="1:21" s="98" customFormat="1" hidden="1" x14ac:dyDescent="0.25">
      <c r="A39" s="92" t="s">
        <v>75</v>
      </c>
      <c r="B39" s="93" t="s">
        <v>199</v>
      </c>
      <c r="C39" s="97">
        <v>20000</v>
      </c>
      <c r="D39" s="97"/>
      <c r="E39" s="97"/>
      <c r="F39" s="97">
        <f>D39*E39*$C39</f>
        <v>0</v>
      </c>
      <c r="G39" s="97">
        <f>G36</f>
        <v>0</v>
      </c>
      <c r="H39" s="97"/>
      <c r="I39" s="97">
        <f>G39*H39*$C39</f>
        <v>0</v>
      </c>
      <c r="J39" s="97"/>
      <c r="K39" s="97"/>
      <c r="L39" s="97">
        <f>J39*K39*$C39</f>
        <v>0</v>
      </c>
      <c r="M39" s="97"/>
      <c r="N39" s="97"/>
      <c r="O39" s="97">
        <f>M39*N39*$C39</f>
        <v>0</v>
      </c>
      <c r="P39" s="97"/>
      <c r="Q39" s="97"/>
      <c r="R39" s="97">
        <f>P39*Q39*$C39</f>
        <v>0</v>
      </c>
      <c r="S39" s="97">
        <f>F39+I39+L39+O39+R39</f>
        <v>0</v>
      </c>
      <c r="T39" s="102"/>
    </row>
    <row r="40" spans="1:21" s="88" customFormat="1" ht="50.25" customHeight="1" x14ac:dyDescent="0.25">
      <c r="A40" s="84" t="s">
        <v>289</v>
      </c>
      <c r="B40" s="85" t="s">
        <v>284</v>
      </c>
      <c r="C40" s="86"/>
      <c r="D40" s="86"/>
      <c r="E40" s="86"/>
      <c r="F40" s="86">
        <f>SUBTOTAL(9,F41:F47)</f>
        <v>42174000</v>
      </c>
      <c r="G40" s="86"/>
      <c r="H40" s="86"/>
      <c r="I40" s="86">
        <f>SUBTOTAL(9,I41:I47)</f>
        <v>46569600</v>
      </c>
      <c r="J40" s="86"/>
      <c r="K40" s="86"/>
      <c r="L40" s="86">
        <f>SUBTOTAL(9,L41:L47)</f>
        <v>46569600</v>
      </c>
      <c r="M40" s="86"/>
      <c r="N40" s="86"/>
      <c r="O40" s="86">
        <f>SUBTOTAL(9,O41:O47)</f>
        <v>46569600</v>
      </c>
      <c r="P40" s="86"/>
      <c r="Q40" s="86"/>
      <c r="R40" s="86">
        <f>SUBTOTAL(9,R41:R47)</f>
        <v>46569600</v>
      </c>
      <c r="S40" s="86">
        <f>SUBTOTAL(9,S41:S47)</f>
        <v>228452400</v>
      </c>
      <c r="T40" s="168" t="s">
        <v>366</v>
      </c>
      <c r="U40" s="83"/>
    </row>
    <row r="41" spans="1:21" s="88" customFormat="1" ht="18" customHeight="1" x14ac:dyDescent="0.25">
      <c r="A41" s="84">
        <v>1</v>
      </c>
      <c r="B41" s="120" t="s">
        <v>321</v>
      </c>
      <c r="C41" s="86"/>
      <c r="D41" s="86">
        <v>28</v>
      </c>
      <c r="E41" s="86"/>
      <c r="F41" s="86">
        <f>SUBTOTAL(9,F42:F43)</f>
        <v>24192000</v>
      </c>
      <c r="G41" s="86">
        <f>D41</f>
        <v>28</v>
      </c>
      <c r="H41" s="86"/>
      <c r="I41" s="86">
        <f>SUBTOTAL(9,I42:I43)</f>
        <v>24192000</v>
      </c>
      <c r="J41" s="86">
        <f>D41</f>
        <v>28</v>
      </c>
      <c r="K41" s="86"/>
      <c r="L41" s="86">
        <f>SUBTOTAL(9,L42:L43)</f>
        <v>24192000</v>
      </c>
      <c r="M41" s="86">
        <f>D41</f>
        <v>28</v>
      </c>
      <c r="N41" s="86"/>
      <c r="O41" s="86">
        <f>SUBTOTAL(9,O42:O43)</f>
        <v>24192000</v>
      </c>
      <c r="P41" s="86">
        <f>D41</f>
        <v>28</v>
      </c>
      <c r="Q41" s="86"/>
      <c r="R41" s="86">
        <f>SUBTOTAL(9,R42:R43)</f>
        <v>24192000</v>
      </c>
      <c r="S41" s="86">
        <f>SUBTOTAL(9,S42:S43)</f>
        <v>120960000</v>
      </c>
      <c r="T41" s="169"/>
    </row>
    <row r="42" spans="1:21" x14ac:dyDescent="0.25">
      <c r="A42" s="92" t="s">
        <v>75</v>
      </c>
      <c r="B42" s="93" t="s">
        <v>134</v>
      </c>
      <c r="C42" s="94"/>
      <c r="D42" s="94"/>
      <c r="E42" s="94"/>
      <c r="F42" s="94"/>
      <c r="G42" s="94"/>
      <c r="H42" s="94"/>
      <c r="I42" s="94"/>
      <c r="J42" s="94"/>
      <c r="K42" s="94"/>
      <c r="L42" s="94"/>
      <c r="M42" s="94"/>
      <c r="N42" s="94"/>
      <c r="O42" s="94"/>
      <c r="P42" s="94"/>
      <c r="Q42" s="94"/>
      <c r="R42" s="94"/>
      <c r="S42" s="94"/>
      <c r="T42" s="169"/>
    </row>
    <row r="43" spans="1:21" x14ac:dyDescent="0.25">
      <c r="A43" s="92" t="s">
        <v>75</v>
      </c>
      <c r="B43" s="93" t="s">
        <v>292</v>
      </c>
      <c r="C43" s="94">
        <v>72000</v>
      </c>
      <c r="D43" s="94">
        <f>D41</f>
        <v>28</v>
      </c>
      <c r="E43" s="94">
        <v>12</v>
      </c>
      <c r="F43" s="94">
        <f>D43*E43*$C43</f>
        <v>24192000</v>
      </c>
      <c r="G43" s="94">
        <f>D41</f>
        <v>28</v>
      </c>
      <c r="H43" s="94">
        <f>E43</f>
        <v>12</v>
      </c>
      <c r="I43" s="94">
        <f>G43*H43*$C43</f>
        <v>24192000</v>
      </c>
      <c r="J43" s="94">
        <f>G41</f>
        <v>28</v>
      </c>
      <c r="K43" s="94">
        <f>E43</f>
        <v>12</v>
      </c>
      <c r="L43" s="94">
        <f>J43*K43*$C43</f>
        <v>24192000</v>
      </c>
      <c r="M43" s="94">
        <f>J41</f>
        <v>28</v>
      </c>
      <c r="N43" s="94">
        <f>E43</f>
        <v>12</v>
      </c>
      <c r="O43" s="94">
        <f>M43*N43*$C43</f>
        <v>24192000</v>
      </c>
      <c r="P43" s="94">
        <f>M41</f>
        <v>28</v>
      </c>
      <c r="Q43" s="94">
        <f>E43</f>
        <v>12</v>
      </c>
      <c r="R43" s="94">
        <f>P43*Q43*$C43</f>
        <v>24192000</v>
      </c>
      <c r="S43" s="94">
        <f>F43+I43+L43+O43+R43</f>
        <v>120960000</v>
      </c>
      <c r="T43" s="169"/>
    </row>
    <row r="44" spans="1:21" s="88" customFormat="1" ht="42.75" x14ac:dyDescent="0.25">
      <c r="A44" s="84">
        <v>2</v>
      </c>
      <c r="B44" s="116" t="s">
        <v>348</v>
      </c>
      <c r="C44" s="86"/>
      <c r="D44" s="86">
        <f>D45</f>
        <v>15</v>
      </c>
      <c r="E44" s="86"/>
      <c r="F44" s="86">
        <f>SUBTOTAL(9,F45:F47)</f>
        <v>17982000</v>
      </c>
      <c r="G44" s="86">
        <f>G45</f>
        <v>28</v>
      </c>
      <c r="H44" s="86"/>
      <c r="I44" s="86">
        <f>SUBTOTAL(9,I45:I47)</f>
        <v>22377600</v>
      </c>
      <c r="J44" s="86">
        <f>J45</f>
        <v>28</v>
      </c>
      <c r="K44" s="86"/>
      <c r="L44" s="86">
        <f>SUBTOTAL(9,L45:L47)</f>
        <v>22377600</v>
      </c>
      <c r="M44" s="86">
        <f>M45</f>
        <v>28</v>
      </c>
      <c r="N44" s="86"/>
      <c r="O44" s="86">
        <f>SUBTOTAL(9,O45:O47)</f>
        <v>22377600</v>
      </c>
      <c r="P44" s="86">
        <f>P45</f>
        <v>28</v>
      </c>
      <c r="Q44" s="86"/>
      <c r="R44" s="86">
        <f>SUBTOTAL(9,R45:R47)</f>
        <v>22377600</v>
      </c>
      <c r="S44" s="86">
        <f>SUBTOTAL(9,S45:S47)</f>
        <v>107492400</v>
      </c>
      <c r="T44" s="169"/>
    </row>
    <row r="45" spans="1:21" ht="28.5" customHeight="1" x14ac:dyDescent="0.25">
      <c r="A45" s="92" t="s">
        <v>75</v>
      </c>
      <c r="B45" s="93" t="s">
        <v>134</v>
      </c>
      <c r="C45" s="94">
        <v>72000</v>
      </c>
      <c r="D45" s="94">
        <v>15</v>
      </c>
      <c r="E45" s="94">
        <v>3</v>
      </c>
      <c r="F45" s="94">
        <f>D45*E45*$C45</f>
        <v>3240000</v>
      </c>
      <c r="G45" s="94">
        <v>28</v>
      </c>
      <c r="H45" s="94">
        <v>2</v>
      </c>
      <c r="I45" s="94">
        <f>G45*H45*$C45</f>
        <v>4032000</v>
      </c>
      <c r="J45" s="94">
        <f>G45</f>
        <v>28</v>
      </c>
      <c r="K45" s="94">
        <v>2</v>
      </c>
      <c r="L45" s="94">
        <f>J45*K45*$C45</f>
        <v>4032000</v>
      </c>
      <c r="M45" s="94">
        <f>G45</f>
        <v>28</v>
      </c>
      <c r="N45" s="94">
        <v>2</v>
      </c>
      <c r="O45" s="94">
        <f>M45*N45*$C45</f>
        <v>4032000</v>
      </c>
      <c r="P45" s="94">
        <f>M45</f>
        <v>28</v>
      </c>
      <c r="Q45" s="94">
        <v>2</v>
      </c>
      <c r="R45" s="94">
        <f>P45*Q45*$C45</f>
        <v>4032000</v>
      </c>
      <c r="S45" s="94">
        <f>F45+I45+L45+O45+R45</f>
        <v>19368000</v>
      </c>
      <c r="T45" s="169"/>
    </row>
    <row r="46" spans="1:21" ht="28.5" customHeight="1" x14ac:dyDescent="0.25">
      <c r="A46" s="92" t="s">
        <v>75</v>
      </c>
      <c r="B46" s="93" t="s">
        <v>292</v>
      </c>
      <c r="C46" s="94">
        <v>72000</v>
      </c>
      <c r="D46" s="94"/>
      <c r="E46" s="94"/>
      <c r="F46" s="94">
        <f>D46*E46*$C46</f>
        <v>0</v>
      </c>
      <c r="G46" s="94"/>
      <c r="H46" s="94"/>
      <c r="I46" s="94">
        <f>G46*H46*$C46</f>
        <v>0</v>
      </c>
      <c r="J46" s="94"/>
      <c r="K46" s="94"/>
      <c r="L46" s="94">
        <f>J46*K46*$C46</f>
        <v>0</v>
      </c>
      <c r="M46" s="94"/>
      <c r="N46" s="94"/>
      <c r="O46" s="94">
        <f>M46*N46*$C46</f>
        <v>0</v>
      </c>
      <c r="P46" s="94"/>
      <c r="Q46" s="94"/>
      <c r="R46" s="94">
        <f>P46*Q46*$C46</f>
        <v>0</v>
      </c>
      <c r="S46" s="94">
        <f>F46+I46+L46+O46+R46</f>
        <v>0</v>
      </c>
      <c r="T46" s="169"/>
    </row>
    <row r="47" spans="1:21" ht="28.5" customHeight="1" x14ac:dyDescent="0.25">
      <c r="A47" s="92" t="s">
        <v>75</v>
      </c>
      <c r="B47" s="93" t="s">
        <v>205</v>
      </c>
      <c r="C47" s="94">
        <v>327600</v>
      </c>
      <c r="D47" s="94">
        <f>D45</f>
        <v>15</v>
      </c>
      <c r="E47" s="94">
        <v>3</v>
      </c>
      <c r="F47" s="94">
        <f>D47*E47*$C47</f>
        <v>14742000</v>
      </c>
      <c r="G47" s="94">
        <f>G45</f>
        <v>28</v>
      </c>
      <c r="H47" s="94">
        <v>2</v>
      </c>
      <c r="I47" s="94">
        <f>G47*H47*$C47</f>
        <v>18345600</v>
      </c>
      <c r="J47" s="94">
        <f>J45</f>
        <v>28</v>
      </c>
      <c r="K47" s="94">
        <v>2</v>
      </c>
      <c r="L47" s="94">
        <f>J47*K47*$C47</f>
        <v>18345600</v>
      </c>
      <c r="M47" s="94">
        <f>M45</f>
        <v>28</v>
      </c>
      <c r="N47" s="94">
        <v>2</v>
      </c>
      <c r="O47" s="94">
        <f>M47*N47*$C47</f>
        <v>18345600</v>
      </c>
      <c r="P47" s="94">
        <f>P45</f>
        <v>28</v>
      </c>
      <c r="Q47" s="94">
        <v>2</v>
      </c>
      <c r="R47" s="94">
        <f>P47*Q47*$C47</f>
        <v>18345600</v>
      </c>
      <c r="S47" s="94">
        <f>F47+I47+L47+O47+R47</f>
        <v>88124400</v>
      </c>
      <c r="T47" s="170"/>
    </row>
  </sheetData>
  <mergeCells count="14">
    <mergeCell ref="P4:R4"/>
    <mergeCell ref="S4:S5"/>
    <mergeCell ref="T4:T5"/>
    <mergeCell ref="T40:T47"/>
    <mergeCell ref="A1:S1"/>
    <mergeCell ref="A2:S2"/>
    <mergeCell ref="A3:S3"/>
    <mergeCell ref="A4:A5"/>
    <mergeCell ref="B4:B5"/>
    <mergeCell ref="C4:C5"/>
    <mergeCell ref="D4:F4"/>
    <mergeCell ref="G4:I4"/>
    <mergeCell ref="J4:L4"/>
    <mergeCell ref="M4:O4"/>
  </mergeCells>
  <pageMargins left="0.2" right="0.2" top="0.49" bottom="0.38" header="0.3" footer="0.3"/>
  <pageSetup paperSize="9" scale="60" orientation="landscape"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6"/>
  <sheetViews>
    <sheetView zoomScaleNormal="100" workbookViewId="0">
      <pane xSplit="2" ySplit="5" topLeftCell="C6" activePane="bottomRight" state="frozen"/>
      <selection activeCell="J192" sqref="J192"/>
      <selection pane="topRight" activeCell="J192" sqref="J192"/>
      <selection pane="bottomLeft" activeCell="J192" sqref="J192"/>
      <selection pane="bottomRight" activeCell="O23" sqref="O23"/>
    </sheetView>
  </sheetViews>
  <sheetFormatPr defaultColWidth="9.140625" defaultRowHeight="15.75" outlineLevelRow="1" outlineLevelCol="1" x14ac:dyDescent="0.25"/>
  <cols>
    <col min="1" max="1" width="4.7109375" style="54" customWidth="1"/>
    <col min="2" max="2" width="25.85546875" style="53" customWidth="1"/>
    <col min="3" max="3" width="6.85546875" style="53" customWidth="1" outlineLevel="1"/>
    <col min="4" max="4" width="6" style="54" customWidth="1"/>
    <col min="5" max="5" width="11.28515625" style="53" customWidth="1"/>
    <col min="6" max="6" width="7.85546875" style="53" customWidth="1"/>
    <col min="7" max="7" width="15.42578125" style="53" customWidth="1"/>
    <col min="8" max="8" width="8" style="53" customWidth="1"/>
    <col min="9" max="9" width="15.140625" style="53" customWidth="1"/>
    <col min="10" max="10" width="7.5703125" style="53" customWidth="1"/>
    <col min="11" max="11" width="15" style="53" customWidth="1"/>
    <col min="12" max="12" width="8.28515625" style="53" customWidth="1"/>
    <col min="13" max="13" width="15.85546875" style="53" customWidth="1"/>
    <col min="14" max="14" width="7" style="53" customWidth="1"/>
    <col min="15" max="15" width="15.140625" style="53" bestFit="1" customWidth="1"/>
    <col min="16" max="16" width="17.140625" style="53" customWidth="1"/>
    <col min="17" max="17" width="21" style="53" customWidth="1"/>
    <col min="18" max="18" width="20.140625" style="53" customWidth="1"/>
    <col min="19" max="19" width="12.42578125" style="53" bestFit="1" customWidth="1"/>
    <col min="20" max="16384" width="9.140625" style="53"/>
  </cols>
  <sheetData>
    <row r="1" spans="1:19" s="4" customFormat="1" x14ac:dyDescent="0.25">
      <c r="A1" s="200" t="s">
        <v>185</v>
      </c>
      <c r="B1" s="200"/>
      <c r="C1" s="200"/>
      <c r="D1" s="200"/>
      <c r="E1" s="200"/>
      <c r="F1" s="200"/>
      <c r="G1" s="200"/>
      <c r="H1" s="200"/>
      <c r="I1" s="200"/>
      <c r="J1" s="200"/>
      <c r="K1" s="200"/>
      <c r="L1" s="200"/>
      <c r="M1" s="200"/>
      <c r="N1" s="200"/>
      <c r="O1" s="200"/>
      <c r="P1" s="200"/>
      <c r="Q1" s="200"/>
    </row>
    <row r="2" spans="1:19" s="4" customFormat="1" ht="70.5" customHeight="1" x14ac:dyDescent="0.25">
      <c r="A2" s="201" t="s">
        <v>362</v>
      </c>
      <c r="B2" s="200"/>
      <c r="C2" s="200"/>
      <c r="D2" s="200"/>
      <c r="E2" s="200"/>
      <c r="F2" s="200"/>
      <c r="G2" s="200"/>
      <c r="H2" s="200"/>
      <c r="I2" s="200"/>
      <c r="J2" s="200"/>
      <c r="K2" s="200"/>
      <c r="L2" s="200"/>
      <c r="M2" s="200"/>
      <c r="N2" s="200"/>
      <c r="O2" s="200"/>
      <c r="P2" s="200"/>
      <c r="Q2" s="200"/>
    </row>
    <row r="3" spans="1:19" s="52" customFormat="1" ht="19.149999999999999" customHeight="1" x14ac:dyDescent="0.25">
      <c r="A3" s="202"/>
      <c r="B3" s="202"/>
      <c r="C3" s="202"/>
      <c r="D3" s="202"/>
      <c r="E3" s="202"/>
      <c r="F3" s="202"/>
      <c r="G3" s="202"/>
      <c r="H3" s="202"/>
      <c r="I3" s="202"/>
      <c r="J3" s="202"/>
      <c r="K3" s="202"/>
      <c r="L3" s="202"/>
      <c r="M3" s="202"/>
      <c r="N3" s="202"/>
      <c r="O3" s="202"/>
      <c r="P3" s="202"/>
      <c r="Q3" s="202"/>
    </row>
    <row r="4" spans="1:19" s="4" customFormat="1" ht="15.75" customHeight="1" x14ac:dyDescent="0.25">
      <c r="A4" s="176" t="s">
        <v>28</v>
      </c>
      <c r="B4" s="176" t="s">
        <v>151</v>
      </c>
      <c r="C4" s="171" t="s">
        <v>201</v>
      </c>
      <c r="D4" s="176" t="s">
        <v>30</v>
      </c>
      <c r="E4" s="177" t="s">
        <v>31</v>
      </c>
      <c r="F4" s="176" t="s">
        <v>235</v>
      </c>
      <c r="G4" s="176"/>
      <c r="H4" s="176" t="s">
        <v>236</v>
      </c>
      <c r="I4" s="176"/>
      <c r="J4" s="176" t="s">
        <v>237</v>
      </c>
      <c r="K4" s="176"/>
      <c r="L4" s="176" t="s">
        <v>238</v>
      </c>
      <c r="M4" s="176"/>
      <c r="N4" s="176" t="s">
        <v>239</v>
      </c>
      <c r="O4" s="176"/>
      <c r="P4" s="177" t="s">
        <v>152</v>
      </c>
      <c r="Q4" s="176" t="s">
        <v>150</v>
      </c>
    </row>
    <row r="5" spans="1:19" s="4" customFormat="1" ht="31.5" x14ac:dyDescent="0.25">
      <c r="A5" s="176"/>
      <c r="B5" s="176"/>
      <c r="C5" s="203"/>
      <c r="D5" s="176"/>
      <c r="E5" s="177"/>
      <c r="F5" s="6" t="s">
        <v>32</v>
      </c>
      <c r="G5" s="5" t="s">
        <v>33</v>
      </c>
      <c r="H5" s="6" t="s">
        <v>32</v>
      </c>
      <c r="I5" s="5" t="s">
        <v>33</v>
      </c>
      <c r="J5" s="6" t="s">
        <v>32</v>
      </c>
      <c r="K5" s="5" t="s">
        <v>33</v>
      </c>
      <c r="L5" s="6" t="s">
        <v>32</v>
      </c>
      <c r="M5" s="5" t="s">
        <v>33</v>
      </c>
      <c r="N5" s="6" t="s">
        <v>32</v>
      </c>
      <c r="O5" s="5" t="s">
        <v>33</v>
      </c>
      <c r="P5" s="176"/>
      <c r="Q5" s="176"/>
    </row>
    <row r="6" spans="1:19" s="4" customFormat="1" ht="22.5" customHeight="1" x14ac:dyDescent="0.25">
      <c r="A6" s="6" t="s">
        <v>117</v>
      </c>
      <c r="B6" s="6" t="s">
        <v>116</v>
      </c>
      <c r="C6" s="46"/>
      <c r="D6" s="6"/>
      <c r="E6" s="67"/>
      <c r="F6" s="65">
        <f t="shared" ref="F6:P6" si="0">SUBTOTAL(9,F7:F45)</f>
        <v>530</v>
      </c>
      <c r="G6" s="65">
        <f t="shared" si="0"/>
        <v>583632200</v>
      </c>
      <c r="H6" s="65">
        <f t="shared" si="0"/>
        <v>554</v>
      </c>
      <c r="I6" s="65">
        <f t="shared" si="0"/>
        <v>562432200</v>
      </c>
      <c r="J6" s="65">
        <f t="shared" si="0"/>
        <v>518</v>
      </c>
      <c r="K6" s="65">
        <f t="shared" si="0"/>
        <v>471632200</v>
      </c>
      <c r="L6" s="65">
        <f t="shared" si="0"/>
        <v>516</v>
      </c>
      <c r="M6" s="65">
        <f t="shared" si="0"/>
        <v>431632200</v>
      </c>
      <c r="N6" s="65">
        <f t="shared" si="0"/>
        <v>278</v>
      </c>
      <c r="O6" s="65">
        <f t="shared" si="0"/>
        <v>18156200</v>
      </c>
      <c r="P6" s="65">
        <f t="shared" si="0"/>
        <v>2067485000</v>
      </c>
      <c r="Q6" s="46"/>
      <c r="R6" s="166">
        <v>144063459000</v>
      </c>
      <c r="S6" s="166">
        <f>R6-P6</f>
        <v>141995974000</v>
      </c>
    </row>
    <row r="7" spans="1:19" s="4" customFormat="1" ht="51.75" customHeight="1" x14ac:dyDescent="0.25">
      <c r="A7" s="6" t="s">
        <v>35</v>
      </c>
      <c r="B7" s="127" t="s">
        <v>302</v>
      </c>
      <c r="C7" s="5"/>
      <c r="D7" s="55"/>
      <c r="E7" s="65"/>
      <c r="F7" s="65">
        <f t="shared" ref="F7:P7" si="1">SUBTOTAL(9,F8:F20)</f>
        <v>239</v>
      </c>
      <c r="G7" s="65">
        <f t="shared" si="1"/>
        <v>415476000</v>
      </c>
      <c r="H7" s="65">
        <f t="shared" si="1"/>
        <v>238</v>
      </c>
      <c r="I7" s="65">
        <f t="shared" si="1"/>
        <v>413476000</v>
      </c>
      <c r="J7" s="65">
        <f t="shared" si="1"/>
        <v>238</v>
      </c>
      <c r="K7" s="65">
        <f t="shared" si="1"/>
        <v>413476000</v>
      </c>
      <c r="L7" s="65">
        <f t="shared" si="1"/>
        <v>238</v>
      </c>
      <c r="M7" s="65">
        <f t="shared" si="1"/>
        <v>413476000</v>
      </c>
      <c r="N7" s="65">
        <f t="shared" si="1"/>
        <v>0</v>
      </c>
      <c r="O7" s="65">
        <f t="shared" si="1"/>
        <v>0</v>
      </c>
      <c r="P7" s="65">
        <f t="shared" si="1"/>
        <v>1655904000</v>
      </c>
      <c r="Q7" s="46"/>
    </row>
    <row r="8" spans="1:19" s="4" customFormat="1" x14ac:dyDescent="0.25">
      <c r="A8" s="6">
        <v>1</v>
      </c>
      <c r="B8" s="46" t="s">
        <v>153</v>
      </c>
      <c r="C8" s="167">
        <f>'PL1'!K7+'PL1'!M7</f>
        <v>112</v>
      </c>
      <c r="D8" s="55"/>
      <c r="E8" s="65"/>
      <c r="F8" s="65">
        <f>SUBTOTAL(9,F9:F18)</f>
        <v>238</v>
      </c>
      <c r="G8" s="65">
        <f t="shared" ref="G8:P8" si="2">SUBTOTAL(9,G9:G18)</f>
        <v>413476000</v>
      </c>
      <c r="H8" s="65">
        <f t="shared" si="2"/>
        <v>238</v>
      </c>
      <c r="I8" s="65">
        <f t="shared" si="2"/>
        <v>413476000</v>
      </c>
      <c r="J8" s="65">
        <f t="shared" si="2"/>
        <v>238</v>
      </c>
      <c r="K8" s="65">
        <f t="shared" si="2"/>
        <v>413476000</v>
      </c>
      <c r="L8" s="65">
        <f t="shared" si="2"/>
        <v>238</v>
      </c>
      <c r="M8" s="65">
        <f t="shared" si="2"/>
        <v>413476000</v>
      </c>
      <c r="N8" s="65">
        <f t="shared" si="2"/>
        <v>0</v>
      </c>
      <c r="O8" s="65">
        <f t="shared" si="2"/>
        <v>0</v>
      </c>
      <c r="P8" s="65">
        <f t="shared" si="2"/>
        <v>1653904000</v>
      </c>
      <c r="Q8" s="46"/>
    </row>
    <row r="9" spans="1:19" x14ac:dyDescent="0.25">
      <c r="A9" s="7" t="s">
        <v>170</v>
      </c>
      <c r="B9" s="49" t="s">
        <v>174</v>
      </c>
      <c r="C9" s="49">
        <f>C8</f>
        <v>112</v>
      </c>
      <c r="D9" s="56" t="s">
        <v>61</v>
      </c>
      <c r="E9" s="66">
        <v>200000</v>
      </c>
      <c r="F9" s="66">
        <f>ROUND($C9*25%,0)</f>
        <v>28</v>
      </c>
      <c r="G9" s="66">
        <f>$E9*F9</f>
        <v>5600000</v>
      </c>
      <c r="H9" s="66">
        <f>ROUND($C9*25%,0)</f>
        <v>28</v>
      </c>
      <c r="I9" s="66">
        <f>$E9*H9</f>
        <v>5600000</v>
      </c>
      <c r="J9" s="66">
        <f>ROUND($C9*25%,0)</f>
        <v>28</v>
      </c>
      <c r="K9" s="66">
        <f t="shared" ref="K9:K18" si="3">$E9*J9</f>
        <v>5600000</v>
      </c>
      <c r="L9" s="66">
        <f>C9-F9-H9-J9</f>
        <v>28</v>
      </c>
      <c r="M9" s="66">
        <f t="shared" ref="M9:M18" si="4">$E9*L9</f>
        <v>5600000</v>
      </c>
      <c r="N9" s="66">
        <f>C9-(F9+H9+J9+L9)</f>
        <v>0</v>
      </c>
      <c r="O9" s="66">
        <f t="shared" ref="O9:O18" si="5">$E9*N9</f>
        <v>0</v>
      </c>
      <c r="P9" s="66">
        <f>G9+I9+K9+M9+O9</f>
        <v>22400000</v>
      </c>
      <c r="Q9" s="198" t="s">
        <v>299</v>
      </c>
    </row>
    <row r="10" spans="1:19" x14ac:dyDescent="0.25">
      <c r="A10" s="7" t="s">
        <v>170</v>
      </c>
      <c r="B10" s="49" t="s">
        <v>154</v>
      </c>
      <c r="C10" s="49">
        <f>ROUND(C8*25%,0)</f>
        <v>28</v>
      </c>
      <c r="D10" s="56" t="s">
        <v>61</v>
      </c>
      <c r="E10" s="66">
        <v>3500000</v>
      </c>
      <c r="F10" s="66">
        <f t="shared" ref="F10:F18" si="6">ROUND($C10*25%,0)</f>
        <v>7</v>
      </c>
      <c r="G10" s="66">
        <f t="shared" ref="G10:I18" si="7">$E10*F10</f>
        <v>24500000</v>
      </c>
      <c r="H10" s="66">
        <f t="shared" ref="H10:H18" si="8">ROUND($C10*25%,0)</f>
        <v>7</v>
      </c>
      <c r="I10" s="66">
        <f t="shared" si="7"/>
        <v>24500000</v>
      </c>
      <c r="J10" s="66">
        <f t="shared" ref="J10:J18" si="9">ROUND($C10*25%,0)</f>
        <v>7</v>
      </c>
      <c r="K10" s="66">
        <f t="shared" si="3"/>
        <v>24500000</v>
      </c>
      <c r="L10" s="66">
        <f t="shared" ref="L10:L18" si="10">C10-F10-H10-J10</f>
        <v>7</v>
      </c>
      <c r="M10" s="66">
        <f t="shared" si="4"/>
        <v>24500000</v>
      </c>
      <c r="N10" s="66">
        <f t="shared" ref="N10:N20" si="11">C10-(F10+H10+J10+L10)</f>
        <v>0</v>
      </c>
      <c r="O10" s="66">
        <f t="shared" si="5"/>
        <v>0</v>
      </c>
      <c r="P10" s="66">
        <f t="shared" ref="P10:P18" si="12">G10+I10+K10+M10+O10</f>
        <v>98000000</v>
      </c>
      <c r="Q10" s="199"/>
    </row>
    <row r="11" spans="1:19" x14ac:dyDescent="0.25">
      <c r="A11" s="7" t="s">
        <v>170</v>
      </c>
      <c r="B11" s="49" t="s">
        <v>175</v>
      </c>
      <c r="C11" s="49">
        <f>C8</f>
        <v>112</v>
      </c>
      <c r="D11" s="56" t="s">
        <v>61</v>
      </c>
      <c r="E11" s="66">
        <v>3500000</v>
      </c>
      <c r="F11" s="66">
        <f t="shared" si="6"/>
        <v>28</v>
      </c>
      <c r="G11" s="66">
        <f t="shared" si="7"/>
        <v>98000000</v>
      </c>
      <c r="H11" s="66">
        <f t="shared" si="8"/>
        <v>28</v>
      </c>
      <c r="I11" s="66">
        <f t="shared" si="7"/>
        <v>98000000</v>
      </c>
      <c r="J11" s="66">
        <f t="shared" si="9"/>
        <v>28</v>
      </c>
      <c r="K11" s="66">
        <f t="shared" si="3"/>
        <v>98000000</v>
      </c>
      <c r="L11" s="66">
        <f t="shared" si="10"/>
        <v>28</v>
      </c>
      <c r="M11" s="66">
        <f t="shared" si="4"/>
        <v>98000000</v>
      </c>
      <c r="N11" s="66">
        <f t="shared" si="11"/>
        <v>0</v>
      </c>
      <c r="O11" s="66">
        <f t="shared" si="5"/>
        <v>0</v>
      </c>
      <c r="P11" s="66">
        <f t="shared" si="12"/>
        <v>392000000</v>
      </c>
      <c r="Q11" s="199"/>
    </row>
    <row r="12" spans="1:19" x14ac:dyDescent="0.25">
      <c r="A12" s="7" t="s">
        <v>170</v>
      </c>
      <c r="B12" s="49" t="s">
        <v>155</v>
      </c>
      <c r="C12" s="49">
        <f>C8</f>
        <v>112</v>
      </c>
      <c r="D12" s="56" t="s">
        <v>61</v>
      </c>
      <c r="E12" s="66">
        <v>400000</v>
      </c>
      <c r="F12" s="66">
        <f t="shared" si="6"/>
        <v>28</v>
      </c>
      <c r="G12" s="66">
        <f t="shared" si="7"/>
        <v>11200000</v>
      </c>
      <c r="H12" s="66">
        <f t="shared" si="8"/>
        <v>28</v>
      </c>
      <c r="I12" s="66">
        <f t="shared" si="7"/>
        <v>11200000</v>
      </c>
      <c r="J12" s="66">
        <f t="shared" si="9"/>
        <v>28</v>
      </c>
      <c r="K12" s="66">
        <f t="shared" si="3"/>
        <v>11200000</v>
      </c>
      <c r="L12" s="66">
        <f t="shared" si="10"/>
        <v>28</v>
      </c>
      <c r="M12" s="66">
        <f t="shared" si="4"/>
        <v>11200000</v>
      </c>
      <c r="N12" s="66">
        <f t="shared" si="11"/>
        <v>0</v>
      </c>
      <c r="O12" s="66">
        <f t="shared" si="5"/>
        <v>0</v>
      </c>
      <c r="P12" s="66">
        <f t="shared" si="12"/>
        <v>44800000</v>
      </c>
      <c r="Q12" s="199"/>
    </row>
    <row r="13" spans="1:19" x14ac:dyDescent="0.25">
      <c r="A13" s="7" t="s">
        <v>170</v>
      </c>
      <c r="B13" s="49" t="s">
        <v>221</v>
      </c>
      <c r="C13" s="49">
        <f>C8</f>
        <v>112</v>
      </c>
      <c r="D13" s="56" t="s">
        <v>61</v>
      </c>
      <c r="E13" s="66">
        <v>3600000</v>
      </c>
      <c r="F13" s="66">
        <f t="shared" si="6"/>
        <v>28</v>
      </c>
      <c r="G13" s="66">
        <f t="shared" si="7"/>
        <v>100800000</v>
      </c>
      <c r="H13" s="66">
        <f t="shared" si="8"/>
        <v>28</v>
      </c>
      <c r="I13" s="66">
        <f t="shared" si="7"/>
        <v>100800000</v>
      </c>
      <c r="J13" s="66">
        <f t="shared" si="9"/>
        <v>28</v>
      </c>
      <c r="K13" s="66">
        <f t="shared" si="3"/>
        <v>100800000</v>
      </c>
      <c r="L13" s="66">
        <f t="shared" si="10"/>
        <v>28</v>
      </c>
      <c r="M13" s="66">
        <f t="shared" si="4"/>
        <v>100800000</v>
      </c>
      <c r="N13" s="66">
        <f t="shared" si="11"/>
        <v>0</v>
      </c>
      <c r="O13" s="66">
        <f t="shared" si="5"/>
        <v>0</v>
      </c>
      <c r="P13" s="66">
        <f t="shared" si="12"/>
        <v>403200000</v>
      </c>
      <c r="Q13" s="199"/>
    </row>
    <row r="14" spans="1:19" x14ac:dyDescent="0.25">
      <c r="A14" s="7" t="s">
        <v>170</v>
      </c>
      <c r="B14" s="49" t="s">
        <v>156</v>
      </c>
      <c r="C14" s="49">
        <f>C10</f>
        <v>28</v>
      </c>
      <c r="D14" s="56" t="s">
        <v>61</v>
      </c>
      <c r="E14" s="66">
        <v>800000</v>
      </c>
      <c r="F14" s="66">
        <f t="shared" si="6"/>
        <v>7</v>
      </c>
      <c r="G14" s="66">
        <f t="shared" si="7"/>
        <v>5600000</v>
      </c>
      <c r="H14" s="66">
        <f t="shared" si="8"/>
        <v>7</v>
      </c>
      <c r="I14" s="66">
        <f t="shared" si="7"/>
        <v>5600000</v>
      </c>
      <c r="J14" s="66">
        <f t="shared" si="9"/>
        <v>7</v>
      </c>
      <c r="K14" s="66">
        <f t="shared" si="3"/>
        <v>5600000</v>
      </c>
      <c r="L14" s="66">
        <f t="shared" si="10"/>
        <v>7</v>
      </c>
      <c r="M14" s="66">
        <f t="shared" si="4"/>
        <v>5600000</v>
      </c>
      <c r="N14" s="66">
        <f t="shared" si="11"/>
        <v>0</v>
      </c>
      <c r="O14" s="66">
        <f t="shared" si="5"/>
        <v>0</v>
      </c>
      <c r="P14" s="66">
        <f t="shared" si="12"/>
        <v>22400000</v>
      </c>
      <c r="Q14" s="199"/>
    </row>
    <row r="15" spans="1:19" x14ac:dyDescent="0.25">
      <c r="A15" s="7" t="s">
        <v>170</v>
      </c>
      <c r="B15" s="49" t="s">
        <v>157</v>
      </c>
      <c r="C15" s="49">
        <f>C8</f>
        <v>112</v>
      </c>
      <c r="D15" s="56" t="s">
        <v>60</v>
      </c>
      <c r="E15" s="66">
        <v>1480000</v>
      </c>
      <c r="F15" s="66">
        <f t="shared" si="6"/>
        <v>28</v>
      </c>
      <c r="G15" s="66">
        <f t="shared" si="7"/>
        <v>41440000</v>
      </c>
      <c r="H15" s="66">
        <f t="shared" si="8"/>
        <v>28</v>
      </c>
      <c r="I15" s="66">
        <f t="shared" si="7"/>
        <v>41440000</v>
      </c>
      <c r="J15" s="66">
        <f t="shared" si="9"/>
        <v>28</v>
      </c>
      <c r="K15" s="66">
        <f t="shared" si="3"/>
        <v>41440000</v>
      </c>
      <c r="L15" s="66">
        <f t="shared" si="10"/>
        <v>28</v>
      </c>
      <c r="M15" s="66">
        <f t="shared" si="4"/>
        <v>41440000</v>
      </c>
      <c r="N15" s="66">
        <f t="shared" si="11"/>
        <v>0</v>
      </c>
      <c r="O15" s="66">
        <f t="shared" si="5"/>
        <v>0</v>
      </c>
      <c r="P15" s="66">
        <f t="shared" si="12"/>
        <v>165760000</v>
      </c>
      <c r="Q15" s="199"/>
    </row>
    <row r="16" spans="1:19" x14ac:dyDescent="0.25">
      <c r="A16" s="7" t="s">
        <v>170</v>
      </c>
      <c r="B16" s="49" t="s">
        <v>158</v>
      </c>
      <c r="C16" s="49">
        <f>C8</f>
        <v>112</v>
      </c>
      <c r="D16" s="56" t="s">
        <v>60</v>
      </c>
      <c r="E16" s="66">
        <v>1412000</v>
      </c>
      <c r="F16" s="66">
        <f t="shared" si="6"/>
        <v>28</v>
      </c>
      <c r="G16" s="66">
        <f t="shared" si="7"/>
        <v>39536000</v>
      </c>
      <c r="H16" s="66">
        <f t="shared" si="8"/>
        <v>28</v>
      </c>
      <c r="I16" s="66">
        <f t="shared" si="7"/>
        <v>39536000</v>
      </c>
      <c r="J16" s="66">
        <f t="shared" si="9"/>
        <v>28</v>
      </c>
      <c r="K16" s="66">
        <f t="shared" si="3"/>
        <v>39536000</v>
      </c>
      <c r="L16" s="66">
        <f t="shared" si="10"/>
        <v>28</v>
      </c>
      <c r="M16" s="66">
        <f t="shared" si="4"/>
        <v>39536000</v>
      </c>
      <c r="N16" s="66">
        <f t="shared" si="11"/>
        <v>0</v>
      </c>
      <c r="O16" s="66">
        <f t="shared" si="5"/>
        <v>0</v>
      </c>
      <c r="P16" s="66">
        <f t="shared" si="12"/>
        <v>158144000</v>
      </c>
      <c r="Q16" s="199"/>
    </row>
    <row r="17" spans="1:17" x14ac:dyDescent="0.25">
      <c r="A17" s="7" t="s">
        <v>170</v>
      </c>
      <c r="B17" s="49" t="s">
        <v>159</v>
      </c>
      <c r="C17" s="49">
        <f>C8</f>
        <v>112</v>
      </c>
      <c r="D17" s="56" t="s">
        <v>61</v>
      </c>
      <c r="E17" s="66">
        <v>400000</v>
      </c>
      <c r="F17" s="66">
        <f t="shared" si="6"/>
        <v>28</v>
      </c>
      <c r="G17" s="66">
        <f t="shared" si="7"/>
        <v>11200000</v>
      </c>
      <c r="H17" s="66">
        <f t="shared" si="8"/>
        <v>28</v>
      </c>
      <c r="I17" s="66">
        <f t="shared" si="7"/>
        <v>11200000</v>
      </c>
      <c r="J17" s="66">
        <f t="shared" si="9"/>
        <v>28</v>
      </c>
      <c r="K17" s="66">
        <f t="shared" si="3"/>
        <v>11200000</v>
      </c>
      <c r="L17" s="66">
        <f t="shared" si="10"/>
        <v>28</v>
      </c>
      <c r="M17" s="66">
        <f t="shared" si="4"/>
        <v>11200000</v>
      </c>
      <c r="N17" s="66">
        <f t="shared" si="11"/>
        <v>0</v>
      </c>
      <c r="O17" s="66">
        <f t="shared" si="5"/>
        <v>0</v>
      </c>
      <c r="P17" s="66">
        <f t="shared" si="12"/>
        <v>44800000</v>
      </c>
      <c r="Q17" s="199"/>
    </row>
    <row r="18" spans="1:17" x14ac:dyDescent="0.25">
      <c r="A18" s="7" t="s">
        <v>170</v>
      </c>
      <c r="B18" s="49" t="s">
        <v>176</v>
      </c>
      <c r="C18" s="49">
        <f>C8</f>
        <v>112</v>
      </c>
      <c r="D18" s="56" t="s">
        <v>61</v>
      </c>
      <c r="E18" s="66">
        <v>2700000</v>
      </c>
      <c r="F18" s="66">
        <f t="shared" si="6"/>
        <v>28</v>
      </c>
      <c r="G18" s="66">
        <f t="shared" si="7"/>
        <v>75600000</v>
      </c>
      <c r="H18" s="66">
        <f t="shared" si="8"/>
        <v>28</v>
      </c>
      <c r="I18" s="66">
        <f t="shared" si="7"/>
        <v>75600000</v>
      </c>
      <c r="J18" s="66">
        <f t="shared" si="9"/>
        <v>28</v>
      </c>
      <c r="K18" s="66">
        <f t="shared" si="3"/>
        <v>75600000</v>
      </c>
      <c r="L18" s="66">
        <f t="shared" si="10"/>
        <v>28</v>
      </c>
      <c r="M18" s="66">
        <f t="shared" si="4"/>
        <v>75600000</v>
      </c>
      <c r="N18" s="66">
        <f t="shared" si="11"/>
        <v>0</v>
      </c>
      <c r="O18" s="66">
        <f t="shared" si="5"/>
        <v>0</v>
      </c>
      <c r="P18" s="66">
        <f t="shared" si="12"/>
        <v>302400000</v>
      </c>
      <c r="Q18" s="199"/>
    </row>
    <row r="19" spans="1:17" s="4" customFormat="1" ht="31.5" x14ac:dyDescent="0.25">
      <c r="A19" s="6">
        <v>2</v>
      </c>
      <c r="B19" s="57" t="s">
        <v>303</v>
      </c>
      <c r="C19" s="57">
        <v>1</v>
      </c>
      <c r="D19" s="55"/>
      <c r="E19" s="65"/>
      <c r="F19" s="65">
        <f t="shared" ref="F19:P19" si="13">SUBTOTAL(9,F20:F20)</f>
        <v>1</v>
      </c>
      <c r="G19" s="65">
        <f t="shared" si="13"/>
        <v>2000000</v>
      </c>
      <c r="H19" s="65">
        <f t="shared" si="13"/>
        <v>0</v>
      </c>
      <c r="I19" s="65">
        <f t="shared" si="13"/>
        <v>0</v>
      </c>
      <c r="J19" s="65">
        <f t="shared" si="13"/>
        <v>0</v>
      </c>
      <c r="K19" s="65">
        <f t="shared" si="13"/>
        <v>0</v>
      </c>
      <c r="L19" s="65">
        <f t="shared" si="13"/>
        <v>0</v>
      </c>
      <c r="M19" s="65">
        <f t="shared" si="13"/>
        <v>0</v>
      </c>
      <c r="N19" s="65">
        <f t="shared" si="13"/>
        <v>0</v>
      </c>
      <c r="O19" s="65">
        <f t="shared" si="13"/>
        <v>0</v>
      </c>
      <c r="P19" s="65">
        <f t="shared" si="13"/>
        <v>2000000</v>
      </c>
      <c r="Q19" s="46" t="s">
        <v>211</v>
      </c>
    </row>
    <row r="20" spans="1:17" ht="39" customHeight="1" x14ac:dyDescent="0.25">
      <c r="A20" s="7" t="s">
        <v>170</v>
      </c>
      <c r="B20" s="49" t="s">
        <v>160</v>
      </c>
      <c r="C20" s="49">
        <v>1</v>
      </c>
      <c r="D20" s="56" t="s">
        <v>61</v>
      </c>
      <c r="E20" s="66">
        <v>2000000</v>
      </c>
      <c r="F20" s="66">
        <f>C20</f>
        <v>1</v>
      </c>
      <c r="G20" s="66">
        <f>$E20*F20</f>
        <v>2000000</v>
      </c>
      <c r="H20" s="66"/>
      <c r="I20" s="66">
        <f>$E20*H20</f>
        <v>0</v>
      </c>
      <c r="J20" s="66"/>
      <c r="K20" s="66">
        <f>$E20*J20</f>
        <v>0</v>
      </c>
      <c r="L20" s="66"/>
      <c r="M20" s="66">
        <f>$E20*L20</f>
        <v>0</v>
      </c>
      <c r="N20" s="66">
        <f t="shared" si="11"/>
        <v>0</v>
      </c>
      <c r="O20" s="66">
        <f>$E20*N20</f>
        <v>0</v>
      </c>
      <c r="P20" s="66">
        <f>G20+I20+K20+M20+O20</f>
        <v>2000000</v>
      </c>
      <c r="Q20" s="58" t="s">
        <v>270</v>
      </c>
    </row>
    <row r="21" spans="1:17" s="4" customFormat="1" ht="21.75" customHeight="1" x14ac:dyDescent="0.25">
      <c r="A21" s="6" t="s">
        <v>47</v>
      </c>
      <c r="B21" s="46" t="s">
        <v>161</v>
      </c>
      <c r="C21" s="46"/>
      <c r="D21" s="55"/>
      <c r="E21" s="65"/>
      <c r="F21" s="65">
        <f t="shared" ref="F21:P21" si="14">SUBTOTAL(9,F22:F37)</f>
        <v>274</v>
      </c>
      <c r="G21" s="65">
        <f t="shared" si="14"/>
        <v>151096200</v>
      </c>
      <c r="H21" s="65">
        <f t="shared" si="14"/>
        <v>299</v>
      </c>
      <c r="I21" s="65">
        <f t="shared" si="14"/>
        <v>131896200</v>
      </c>
      <c r="J21" s="65">
        <f t="shared" si="14"/>
        <v>263</v>
      </c>
      <c r="K21" s="65">
        <f t="shared" si="14"/>
        <v>41096200</v>
      </c>
      <c r="L21" s="65">
        <f t="shared" si="14"/>
        <v>261</v>
      </c>
      <c r="M21" s="65">
        <f t="shared" si="14"/>
        <v>1096200</v>
      </c>
      <c r="N21" s="65">
        <f t="shared" si="14"/>
        <v>261</v>
      </c>
      <c r="O21" s="65">
        <f t="shared" si="14"/>
        <v>1096200</v>
      </c>
      <c r="P21" s="65">
        <f t="shared" si="14"/>
        <v>326281000</v>
      </c>
      <c r="Q21" s="46"/>
    </row>
    <row r="22" spans="1:17" s="4" customFormat="1" ht="31.5" x14ac:dyDescent="0.25">
      <c r="A22" s="6">
        <v>1</v>
      </c>
      <c r="B22" s="57" t="s">
        <v>177</v>
      </c>
      <c r="C22" s="57">
        <v>1</v>
      </c>
      <c r="D22" s="55"/>
      <c r="E22" s="65"/>
      <c r="F22" s="65">
        <f>SUBTOTAL(9,F23:F34)</f>
        <v>11</v>
      </c>
      <c r="G22" s="65">
        <f>SUBTOTAL(9,G23:G35)</f>
        <v>150000000</v>
      </c>
      <c r="H22" s="65">
        <f t="shared" ref="H22:N22" si="15">SUBTOTAL(9,H23:H34)</f>
        <v>38</v>
      </c>
      <c r="I22" s="65">
        <f>SUBTOTAL(9,I23:I35)</f>
        <v>130800000</v>
      </c>
      <c r="J22" s="65">
        <f t="shared" si="15"/>
        <v>2</v>
      </c>
      <c r="K22" s="65">
        <f>SUBTOTAL(9,K23:K35)</f>
        <v>40000000</v>
      </c>
      <c r="L22" s="65">
        <f t="shared" si="15"/>
        <v>0</v>
      </c>
      <c r="M22" s="65">
        <f>SUBTOTAL(9,M23:M35)</f>
        <v>0</v>
      </c>
      <c r="N22" s="65">
        <f t="shared" si="15"/>
        <v>0</v>
      </c>
      <c r="O22" s="65">
        <f>SUBTOTAL(9,O23:O35)</f>
        <v>0</v>
      </c>
      <c r="P22" s="65">
        <f>SUBTOTAL(9,P23:P35)</f>
        <v>320800000</v>
      </c>
      <c r="Q22" s="114" t="s">
        <v>267</v>
      </c>
    </row>
    <row r="23" spans="1:17" outlineLevel="1" x14ac:dyDescent="0.25">
      <c r="A23" s="7" t="s">
        <v>170</v>
      </c>
      <c r="B23" s="58" t="s">
        <v>162</v>
      </c>
      <c r="C23" s="58"/>
      <c r="D23" s="56" t="s">
        <v>61</v>
      </c>
      <c r="E23" s="66">
        <v>15000000</v>
      </c>
      <c r="F23" s="66">
        <f t="shared" ref="F23:L35" si="16">ROUND($C23/5,0)</f>
        <v>0</v>
      </c>
      <c r="G23" s="66">
        <f t="shared" ref="G23:O35" si="17">$E23*F23</f>
        <v>0</v>
      </c>
      <c r="H23" s="66">
        <v>1</v>
      </c>
      <c r="I23" s="66">
        <f t="shared" si="17"/>
        <v>15000000</v>
      </c>
      <c r="J23" s="66">
        <f t="shared" si="16"/>
        <v>0</v>
      </c>
      <c r="K23" s="66">
        <f t="shared" si="17"/>
        <v>0</v>
      </c>
      <c r="L23" s="66">
        <f t="shared" si="16"/>
        <v>0</v>
      </c>
      <c r="M23" s="66">
        <f t="shared" si="17"/>
        <v>0</v>
      </c>
      <c r="N23" s="66"/>
      <c r="O23" s="66">
        <f t="shared" si="17"/>
        <v>0</v>
      </c>
      <c r="P23" s="66">
        <f>G23+I23+K23+M23+O23</f>
        <v>15000000</v>
      </c>
      <c r="Q23" s="49" t="s">
        <v>179</v>
      </c>
    </row>
    <row r="24" spans="1:17" outlineLevel="1" x14ac:dyDescent="0.25">
      <c r="A24" s="7" t="s">
        <v>170</v>
      </c>
      <c r="B24" s="58" t="s">
        <v>370</v>
      </c>
      <c r="C24" s="58">
        <v>1</v>
      </c>
      <c r="D24" s="56" t="s">
        <v>61</v>
      </c>
      <c r="E24" s="66">
        <v>7000000</v>
      </c>
      <c r="F24" s="66">
        <v>1</v>
      </c>
      <c r="G24" s="66">
        <f t="shared" si="17"/>
        <v>7000000</v>
      </c>
      <c r="H24" s="66">
        <f t="shared" si="16"/>
        <v>0</v>
      </c>
      <c r="I24" s="66">
        <f t="shared" si="17"/>
        <v>0</v>
      </c>
      <c r="J24" s="66">
        <f t="shared" si="16"/>
        <v>0</v>
      </c>
      <c r="K24" s="66">
        <f t="shared" si="17"/>
        <v>0</v>
      </c>
      <c r="L24" s="66">
        <f t="shared" si="16"/>
        <v>0</v>
      </c>
      <c r="M24" s="66">
        <f t="shared" si="17"/>
        <v>0</v>
      </c>
      <c r="N24" s="66">
        <f t="shared" ref="N24:N28" si="18">C24-(F24+H24+J24+L24)</f>
        <v>0</v>
      </c>
      <c r="O24" s="66">
        <f t="shared" si="17"/>
        <v>0</v>
      </c>
      <c r="P24" s="66">
        <f t="shared" ref="P24:P35" si="19">G24+I24+K24+M24+O24</f>
        <v>7000000</v>
      </c>
      <c r="Q24" s="49" t="s">
        <v>227</v>
      </c>
    </row>
    <row r="25" spans="1:17" outlineLevel="1" x14ac:dyDescent="0.25">
      <c r="A25" s="7" t="s">
        <v>170</v>
      </c>
      <c r="B25" s="58" t="s">
        <v>163</v>
      </c>
      <c r="C25" s="58"/>
      <c r="D25" s="56" t="s">
        <v>61</v>
      </c>
      <c r="E25" s="66">
        <v>1000000</v>
      </c>
      <c r="F25" s="66">
        <f t="shared" si="16"/>
        <v>0</v>
      </c>
      <c r="G25" s="66">
        <f t="shared" si="17"/>
        <v>0</v>
      </c>
      <c r="H25" s="66">
        <v>2</v>
      </c>
      <c r="I25" s="66">
        <f t="shared" si="17"/>
        <v>2000000</v>
      </c>
      <c r="J25" s="66">
        <f t="shared" si="16"/>
        <v>0</v>
      </c>
      <c r="K25" s="66">
        <f t="shared" si="17"/>
        <v>0</v>
      </c>
      <c r="L25" s="66">
        <f t="shared" si="16"/>
        <v>0</v>
      </c>
      <c r="M25" s="66">
        <f t="shared" si="17"/>
        <v>0</v>
      </c>
      <c r="N25" s="66"/>
      <c r="O25" s="66">
        <f t="shared" si="17"/>
        <v>0</v>
      </c>
      <c r="P25" s="66">
        <f t="shared" si="19"/>
        <v>2000000</v>
      </c>
      <c r="Q25" s="49" t="s">
        <v>179</v>
      </c>
    </row>
    <row r="26" spans="1:17" outlineLevel="1" x14ac:dyDescent="0.25">
      <c r="A26" s="7" t="s">
        <v>170</v>
      </c>
      <c r="B26" s="58" t="s">
        <v>368</v>
      </c>
      <c r="C26" s="58"/>
      <c r="D26" s="56" t="s">
        <v>61</v>
      </c>
      <c r="E26" s="66">
        <v>4000000</v>
      </c>
      <c r="F26" s="66">
        <v>3</v>
      </c>
      <c r="G26" s="66">
        <f t="shared" si="17"/>
        <v>12000000</v>
      </c>
      <c r="H26" s="66">
        <v>2</v>
      </c>
      <c r="I26" s="66">
        <f t="shared" si="17"/>
        <v>8000000</v>
      </c>
      <c r="J26" s="66">
        <f t="shared" si="16"/>
        <v>0</v>
      </c>
      <c r="K26" s="66">
        <f t="shared" si="17"/>
        <v>0</v>
      </c>
      <c r="L26" s="66">
        <f t="shared" si="16"/>
        <v>0</v>
      </c>
      <c r="M26" s="66">
        <f t="shared" si="17"/>
        <v>0</v>
      </c>
      <c r="N26" s="66"/>
      <c r="O26" s="66">
        <f t="shared" si="17"/>
        <v>0</v>
      </c>
      <c r="P26" s="66">
        <f t="shared" si="19"/>
        <v>20000000</v>
      </c>
      <c r="Q26" s="49" t="s">
        <v>180</v>
      </c>
    </row>
    <row r="27" spans="1:17" outlineLevel="1" x14ac:dyDescent="0.25">
      <c r="A27" s="7" t="s">
        <v>170</v>
      </c>
      <c r="B27" s="58" t="s">
        <v>164</v>
      </c>
      <c r="C27" s="58">
        <v>1</v>
      </c>
      <c r="D27" s="56" t="s">
        <v>61</v>
      </c>
      <c r="E27" s="66">
        <v>8000000</v>
      </c>
      <c r="F27" s="66">
        <v>0</v>
      </c>
      <c r="G27" s="66">
        <f t="shared" si="17"/>
        <v>0</v>
      </c>
      <c r="H27" s="66">
        <v>2</v>
      </c>
      <c r="I27" s="66">
        <f t="shared" si="17"/>
        <v>16000000</v>
      </c>
      <c r="J27" s="66">
        <f t="shared" si="16"/>
        <v>0</v>
      </c>
      <c r="K27" s="66">
        <f t="shared" si="17"/>
        <v>0</v>
      </c>
      <c r="L27" s="66">
        <f t="shared" si="16"/>
        <v>0</v>
      </c>
      <c r="M27" s="66">
        <f t="shared" si="17"/>
        <v>0</v>
      </c>
      <c r="N27" s="66"/>
      <c r="O27" s="66">
        <f t="shared" si="17"/>
        <v>0</v>
      </c>
      <c r="P27" s="66">
        <f t="shared" si="19"/>
        <v>16000000</v>
      </c>
      <c r="Q27" s="49" t="s">
        <v>179</v>
      </c>
    </row>
    <row r="28" spans="1:17" ht="31.5" x14ac:dyDescent="0.25">
      <c r="A28" s="7" t="s">
        <v>170</v>
      </c>
      <c r="B28" s="58" t="s">
        <v>268</v>
      </c>
      <c r="C28" s="58">
        <f>C22</f>
        <v>1</v>
      </c>
      <c r="D28" s="56" t="s">
        <v>61</v>
      </c>
      <c r="E28" s="66">
        <v>7300000</v>
      </c>
      <c r="F28" s="66">
        <v>0</v>
      </c>
      <c r="G28" s="66">
        <f t="shared" si="17"/>
        <v>0</v>
      </c>
      <c r="H28" s="66">
        <f>C28-F28</f>
        <v>1</v>
      </c>
      <c r="I28" s="66">
        <f t="shared" si="17"/>
        <v>7300000</v>
      </c>
      <c r="J28" s="66"/>
      <c r="K28" s="66">
        <f t="shared" si="17"/>
        <v>0</v>
      </c>
      <c r="L28" s="66"/>
      <c r="M28" s="66">
        <f t="shared" si="17"/>
        <v>0</v>
      </c>
      <c r="N28" s="66">
        <f t="shared" si="18"/>
        <v>0</v>
      </c>
      <c r="O28" s="66">
        <f t="shared" si="17"/>
        <v>0</v>
      </c>
      <c r="P28" s="66">
        <f t="shared" si="19"/>
        <v>7300000</v>
      </c>
      <c r="Q28" s="115" t="s">
        <v>272</v>
      </c>
    </row>
    <row r="29" spans="1:17" outlineLevel="1" x14ac:dyDescent="0.25">
      <c r="A29" s="7" t="s">
        <v>170</v>
      </c>
      <c r="B29" s="49" t="s">
        <v>367</v>
      </c>
      <c r="C29" s="49"/>
      <c r="D29" s="56" t="s">
        <v>60</v>
      </c>
      <c r="E29" s="66">
        <v>20000000</v>
      </c>
      <c r="F29" s="66">
        <v>2</v>
      </c>
      <c r="G29" s="66">
        <f t="shared" si="17"/>
        <v>40000000</v>
      </c>
      <c r="H29" s="66">
        <v>3</v>
      </c>
      <c r="I29" s="66">
        <f t="shared" si="17"/>
        <v>60000000</v>
      </c>
      <c r="J29" s="66">
        <v>2</v>
      </c>
      <c r="K29" s="66">
        <f t="shared" si="17"/>
        <v>40000000</v>
      </c>
      <c r="L29" s="66">
        <f t="shared" si="16"/>
        <v>0</v>
      </c>
      <c r="M29" s="66">
        <f t="shared" si="17"/>
        <v>0</v>
      </c>
      <c r="N29" s="66">
        <v>0</v>
      </c>
      <c r="O29" s="66">
        <f t="shared" si="17"/>
        <v>0</v>
      </c>
      <c r="P29" s="66">
        <f t="shared" si="19"/>
        <v>140000000</v>
      </c>
      <c r="Q29" s="49" t="s">
        <v>179</v>
      </c>
    </row>
    <row r="30" spans="1:17" outlineLevel="1" x14ac:dyDescent="0.25">
      <c r="A30" s="7" t="s">
        <v>170</v>
      </c>
      <c r="B30" s="49" t="s">
        <v>165</v>
      </c>
      <c r="C30" s="49"/>
      <c r="D30" s="56" t="s">
        <v>61</v>
      </c>
      <c r="E30" s="66">
        <v>7000000</v>
      </c>
      <c r="F30" s="66">
        <v>4</v>
      </c>
      <c r="G30" s="66">
        <f t="shared" si="17"/>
        <v>28000000</v>
      </c>
      <c r="H30" s="66">
        <f t="shared" si="16"/>
        <v>0</v>
      </c>
      <c r="I30" s="66">
        <f t="shared" si="17"/>
        <v>0</v>
      </c>
      <c r="J30" s="66">
        <f t="shared" si="16"/>
        <v>0</v>
      </c>
      <c r="K30" s="66">
        <f t="shared" si="17"/>
        <v>0</v>
      </c>
      <c r="L30" s="66">
        <f t="shared" si="16"/>
        <v>0</v>
      </c>
      <c r="M30" s="66">
        <f t="shared" si="17"/>
        <v>0</v>
      </c>
      <c r="N30" s="66">
        <v>0</v>
      </c>
      <c r="O30" s="66">
        <f t="shared" si="17"/>
        <v>0</v>
      </c>
      <c r="P30" s="66">
        <f t="shared" si="19"/>
        <v>28000000</v>
      </c>
      <c r="Q30" s="49" t="s">
        <v>179</v>
      </c>
    </row>
    <row r="31" spans="1:17" outlineLevel="1" x14ac:dyDescent="0.25">
      <c r="A31" s="7" t="s">
        <v>170</v>
      </c>
      <c r="B31" s="49" t="s">
        <v>369</v>
      </c>
      <c r="C31" s="49"/>
      <c r="D31" s="56" t="s">
        <v>61</v>
      </c>
      <c r="E31" s="66">
        <v>53000000</v>
      </c>
      <c r="F31" s="66">
        <v>1</v>
      </c>
      <c r="G31" s="66">
        <f t="shared" si="17"/>
        <v>53000000</v>
      </c>
      <c r="H31" s="66">
        <f t="shared" si="16"/>
        <v>0</v>
      </c>
      <c r="I31" s="66">
        <f t="shared" si="17"/>
        <v>0</v>
      </c>
      <c r="J31" s="66">
        <f t="shared" si="16"/>
        <v>0</v>
      </c>
      <c r="K31" s="66">
        <f t="shared" si="17"/>
        <v>0</v>
      </c>
      <c r="L31" s="66">
        <f t="shared" si="16"/>
        <v>0</v>
      </c>
      <c r="M31" s="66">
        <f t="shared" si="17"/>
        <v>0</v>
      </c>
      <c r="N31" s="66"/>
      <c r="O31" s="66">
        <f t="shared" si="17"/>
        <v>0</v>
      </c>
      <c r="P31" s="66">
        <f t="shared" si="19"/>
        <v>53000000</v>
      </c>
      <c r="Q31" s="49" t="s">
        <v>179</v>
      </c>
    </row>
    <row r="32" spans="1:17" outlineLevel="1" x14ac:dyDescent="0.25">
      <c r="A32" s="7" t="s">
        <v>170</v>
      </c>
      <c r="B32" s="49" t="s">
        <v>166</v>
      </c>
      <c r="C32" s="49"/>
      <c r="D32" s="56" t="s">
        <v>61</v>
      </c>
      <c r="E32" s="66">
        <v>1500000</v>
      </c>
      <c r="F32" s="66">
        <f t="shared" si="16"/>
        <v>0</v>
      </c>
      <c r="G32" s="66">
        <f t="shared" si="17"/>
        <v>0</v>
      </c>
      <c r="H32" s="66">
        <v>9</v>
      </c>
      <c r="I32" s="66">
        <f t="shared" si="17"/>
        <v>13500000</v>
      </c>
      <c r="J32" s="66">
        <f t="shared" si="16"/>
        <v>0</v>
      </c>
      <c r="K32" s="66">
        <f t="shared" si="17"/>
        <v>0</v>
      </c>
      <c r="L32" s="66">
        <f t="shared" si="16"/>
        <v>0</v>
      </c>
      <c r="M32" s="66">
        <f t="shared" si="17"/>
        <v>0</v>
      </c>
      <c r="N32" s="66"/>
      <c r="O32" s="66">
        <f t="shared" si="17"/>
        <v>0</v>
      </c>
      <c r="P32" s="66">
        <f t="shared" si="19"/>
        <v>13500000</v>
      </c>
      <c r="Q32" s="49" t="s">
        <v>179</v>
      </c>
    </row>
    <row r="33" spans="1:17" outlineLevel="1" x14ac:dyDescent="0.25">
      <c r="A33" s="7" t="s">
        <v>170</v>
      </c>
      <c r="B33" s="49" t="s">
        <v>167</v>
      </c>
      <c r="C33" s="49"/>
      <c r="D33" s="56" t="s">
        <v>61</v>
      </c>
      <c r="E33" s="66">
        <v>800000</v>
      </c>
      <c r="F33" s="66">
        <f t="shared" si="16"/>
        <v>0</v>
      </c>
      <c r="G33" s="66">
        <f t="shared" si="17"/>
        <v>0</v>
      </c>
      <c r="H33" s="66">
        <v>9</v>
      </c>
      <c r="I33" s="66">
        <f t="shared" si="17"/>
        <v>7200000</v>
      </c>
      <c r="J33" s="66">
        <f t="shared" si="16"/>
        <v>0</v>
      </c>
      <c r="K33" s="66">
        <f t="shared" si="17"/>
        <v>0</v>
      </c>
      <c r="L33" s="66">
        <f t="shared" si="16"/>
        <v>0</v>
      </c>
      <c r="M33" s="66">
        <f t="shared" si="17"/>
        <v>0</v>
      </c>
      <c r="N33" s="66"/>
      <c r="O33" s="66">
        <f t="shared" si="17"/>
        <v>0</v>
      </c>
      <c r="P33" s="66">
        <f t="shared" si="19"/>
        <v>7200000</v>
      </c>
      <c r="Q33" s="49" t="s">
        <v>225</v>
      </c>
    </row>
    <row r="34" spans="1:17" outlineLevel="1" x14ac:dyDescent="0.25">
      <c r="A34" s="7" t="s">
        <v>170</v>
      </c>
      <c r="B34" s="49" t="s">
        <v>168</v>
      </c>
      <c r="C34" s="49"/>
      <c r="D34" s="56" t="s">
        <v>61</v>
      </c>
      <c r="E34" s="66">
        <v>200000</v>
      </c>
      <c r="F34" s="66">
        <f t="shared" si="16"/>
        <v>0</v>
      </c>
      <c r="G34" s="66">
        <f t="shared" si="17"/>
        <v>0</v>
      </c>
      <c r="H34" s="66">
        <v>9</v>
      </c>
      <c r="I34" s="66">
        <f t="shared" si="17"/>
        <v>1800000</v>
      </c>
      <c r="J34" s="66">
        <f t="shared" si="16"/>
        <v>0</v>
      </c>
      <c r="K34" s="66">
        <f t="shared" si="17"/>
        <v>0</v>
      </c>
      <c r="L34" s="66">
        <f t="shared" si="16"/>
        <v>0</v>
      </c>
      <c r="M34" s="66">
        <f t="shared" si="17"/>
        <v>0</v>
      </c>
      <c r="N34" s="66"/>
      <c r="O34" s="66">
        <f t="shared" si="17"/>
        <v>0</v>
      </c>
      <c r="P34" s="66">
        <f t="shared" si="19"/>
        <v>1800000</v>
      </c>
      <c r="Q34" s="49" t="s">
        <v>226</v>
      </c>
    </row>
    <row r="35" spans="1:17" x14ac:dyDescent="0.25">
      <c r="A35" s="7" t="s">
        <v>75</v>
      </c>
      <c r="B35" s="49" t="s">
        <v>210</v>
      </c>
      <c r="C35" s="49">
        <v>1</v>
      </c>
      <c r="D35" s="56" t="s">
        <v>61</v>
      </c>
      <c r="E35" s="66">
        <v>5000000</v>
      </c>
      <c r="F35" s="66">
        <v>2</v>
      </c>
      <c r="G35" s="66">
        <f t="shared" si="17"/>
        <v>10000000</v>
      </c>
      <c r="H35" s="66">
        <f t="shared" si="16"/>
        <v>0</v>
      </c>
      <c r="I35" s="66">
        <f t="shared" si="17"/>
        <v>0</v>
      </c>
      <c r="J35" s="66">
        <f t="shared" si="16"/>
        <v>0</v>
      </c>
      <c r="K35" s="66">
        <f t="shared" si="17"/>
        <v>0</v>
      </c>
      <c r="L35" s="66">
        <f t="shared" si="16"/>
        <v>0</v>
      </c>
      <c r="M35" s="66">
        <f t="shared" si="17"/>
        <v>0</v>
      </c>
      <c r="N35" s="66">
        <v>0</v>
      </c>
      <c r="O35" s="66">
        <f t="shared" si="17"/>
        <v>0</v>
      </c>
      <c r="P35" s="66">
        <f t="shared" si="19"/>
        <v>10000000</v>
      </c>
      <c r="Q35" s="115" t="s">
        <v>271</v>
      </c>
    </row>
    <row r="36" spans="1:17" s="4" customFormat="1" ht="32.25" x14ac:dyDescent="0.25">
      <c r="A36" s="6">
        <v>2</v>
      </c>
      <c r="B36" s="57" t="s">
        <v>304</v>
      </c>
      <c r="C36" s="57">
        <v>1</v>
      </c>
      <c r="D36" s="55"/>
      <c r="E36" s="65"/>
      <c r="F36" s="65">
        <f>SUBTOTAL(9,F37:F37)</f>
        <v>261</v>
      </c>
      <c r="G36" s="65">
        <f t="shared" ref="G36:P36" si="20">SUBTOTAL(9,G37:G37)</f>
        <v>1096200</v>
      </c>
      <c r="H36" s="65">
        <f t="shared" si="20"/>
        <v>261</v>
      </c>
      <c r="I36" s="65">
        <f t="shared" si="20"/>
        <v>1096200</v>
      </c>
      <c r="J36" s="65">
        <f t="shared" si="20"/>
        <v>261</v>
      </c>
      <c r="K36" s="65">
        <f t="shared" si="20"/>
        <v>1096200</v>
      </c>
      <c r="L36" s="65">
        <f t="shared" si="20"/>
        <v>261</v>
      </c>
      <c r="M36" s="65">
        <f t="shared" si="20"/>
        <v>1096200</v>
      </c>
      <c r="N36" s="65">
        <f t="shared" si="20"/>
        <v>261</v>
      </c>
      <c r="O36" s="65">
        <f t="shared" si="20"/>
        <v>1096200</v>
      </c>
      <c r="P36" s="65">
        <f t="shared" si="20"/>
        <v>5481000</v>
      </c>
      <c r="Q36" s="57" t="s">
        <v>300</v>
      </c>
    </row>
    <row r="37" spans="1:17" ht="22.5" x14ac:dyDescent="0.25">
      <c r="A37" s="7" t="s">
        <v>170</v>
      </c>
      <c r="B37" s="49" t="s">
        <v>169</v>
      </c>
      <c r="C37" s="49"/>
      <c r="D37" s="56" t="s">
        <v>171</v>
      </c>
      <c r="E37" s="66">
        <v>4200</v>
      </c>
      <c r="F37" s="66">
        <f>C36*261</f>
        <v>261</v>
      </c>
      <c r="G37" s="66">
        <f>$E37*F37</f>
        <v>1096200</v>
      </c>
      <c r="H37" s="66">
        <f>F37</f>
        <v>261</v>
      </c>
      <c r="I37" s="66">
        <f>$E37*H37</f>
        <v>1096200</v>
      </c>
      <c r="J37" s="66">
        <f>F37</f>
        <v>261</v>
      </c>
      <c r="K37" s="66">
        <f>$E37*J37</f>
        <v>1096200</v>
      </c>
      <c r="L37" s="66">
        <f>F37</f>
        <v>261</v>
      </c>
      <c r="M37" s="66">
        <f>$E37*L37</f>
        <v>1096200</v>
      </c>
      <c r="N37" s="66">
        <f>F37</f>
        <v>261</v>
      </c>
      <c r="O37" s="66">
        <f>$E37*N37</f>
        <v>1096200</v>
      </c>
      <c r="P37" s="66">
        <f>G37+I37+K37+M37+O37</f>
        <v>5481000</v>
      </c>
      <c r="Q37" s="113" t="s">
        <v>266</v>
      </c>
    </row>
    <row r="38" spans="1:17" s="4" customFormat="1" ht="31.5" x14ac:dyDescent="0.25">
      <c r="A38" s="6" t="s">
        <v>48</v>
      </c>
      <c r="B38" s="57" t="s">
        <v>305</v>
      </c>
      <c r="C38" s="57"/>
      <c r="D38" s="55"/>
      <c r="E38" s="65"/>
      <c r="F38" s="65">
        <f>SUBTOTAL(9,F39:F41)</f>
        <v>12</v>
      </c>
      <c r="G38" s="65">
        <f>SUBTOTAL(9,G39:G41)</f>
        <v>12000000</v>
      </c>
      <c r="H38" s="65">
        <f t="shared" ref="H38:P38" si="21">SUBTOTAL(9,H39:H41)</f>
        <v>12</v>
      </c>
      <c r="I38" s="65">
        <f t="shared" si="21"/>
        <v>12000000</v>
      </c>
      <c r="J38" s="65">
        <f t="shared" si="21"/>
        <v>12</v>
      </c>
      <c r="K38" s="65">
        <f t="shared" si="21"/>
        <v>12000000</v>
      </c>
      <c r="L38" s="65">
        <f t="shared" si="21"/>
        <v>12</v>
      </c>
      <c r="M38" s="65">
        <f t="shared" si="21"/>
        <v>12000000</v>
      </c>
      <c r="N38" s="65">
        <f t="shared" si="21"/>
        <v>12</v>
      </c>
      <c r="O38" s="65">
        <f t="shared" si="21"/>
        <v>12000000</v>
      </c>
      <c r="P38" s="65">
        <f t="shared" si="21"/>
        <v>60000000</v>
      </c>
      <c r="Q38" s="46"/>
    </row>
    <row r="39" spans="1:17" x14ac:dyDescent="0.25">
      <c r="A39" s="7" t="s">
        <v>170</v>
      </c>
      <c r="B39" s="49" t="s">
        <v>172</v>
      </c>
      <c r="C39" s="49">
        <v>1</v>
      </c>
      <c r="D39" s="56" t="s">
        <v>60</v>
      </c>
      <c r="E39" s="66">
        <v>1000000</v>
      </c>
      <c r="F39" s="66">
        <v>6</v>
      </c>
      <c r="G39" s="66">
        <f>$E39*F39</f>
        <v>6000000</v>
      </c>
      <c r="H39" s="66">
        <v>6</v>
      </c>
      <c r="I39" s="66">
        <f>$E39*H39</f>
        <v>6000000</v>
      </c>
      <c r="J39" s="66">
        <v>6</v>
      </c>
      <c r="K39" s="66">
        <f>$E39*J39</f>
        <v>6000000</v>
      </c>
      <c r="L39" s="66">
        <v>6</v>
      </c>
      <c r="M39" s="66">
        <f>$E39*L39</f>
        <v>6000000</v>
      </c>
      <c r="N39" s="66">
        <v>6</v>
      </c>
      <c r="O39" s="66">
        <f>$E39*N39</f>
        <v>6000000</v>
      </c>
      <c r="P39" s="66">
        <f>G39+I39+K39+M39+O39</f>
        <v>30000000</v>
      </c>
      <c r="Q39" s="49" t="s">
        <v>178</v>
      </c>
    </row>
    <row r="40" spans="1:17" x14ac:dyDescent="0.25">
      <c r="A40" s="7" t="s">
        <v>170</v>
      </c>
      <c r="B40" s="49" t="s">
        <v>173</v>
      </c>
      <c r="C40" s="48">
        <v>3</v>
      </c>
      <c r="D40" s="56" t="s">
        <v>60</v>
      </c>
      <c r="E40" s="66">
        <v>12000000</v>
      </c>
      <c r="F40" s="66"/>
      <c r="G40" s="66">
        <f>$E40*F40</f>
        <v>0</v>
      </c>
      <c r="H40" s="66"/>
      <c r="I40" s="66">
        <f>$E40*H40</f>
        <v>0</v>
      </c>
      <c r="J40" s="66"/>
      <c r="K40" s="66">
        <f>$E40*J40</f>
        <v>0</v>
      </c>
      <c r="L40" s="66"/>
      <c r="M40" s="66">
        <f>$E40*L40</f>
        <v>0</v>
      </c>
      <c r="N40" s="66"/>
      <c r="O40" s="66">
        <f>$E40*N40</f>
        <v>0</v>
      </c>
      <c r="P40" s="66">
        <f>G40+I40+K40+M40+O40</f>
        <v>0</v>
      </c>
      <c r="Q40" s="58" t="s">
        <v>224</v>
      </c>
    </row>
    <row r="41" spans="1:17" x14ac:dyDescent="0.25">
      <c r="A41" s="7" t="s">
        <v>75</v>
      </c>
      <c r="B41" s="49" t="s">
        <v>223</v>
      </c>
      <c r="C41" s="48">
        <v>1</v>
      </c>
      <c r="D41" s="56" t="s">
        <v>60</v>
      </c>
      <c r="E41" s="66">
        <v>1000000</v>
      </c>
      <c r="F41" s="66">
        <v>6</v>
      </c>
      <c r="G41" s="66">
        <f>$E41*F41</f>
        <v>6000000</v>
      </c>
      <c r="H41" s="66">
        <v>6</v>
      </c>
      <c r="I41" s="66">
        <f>$E41*H41</f>
        <v>6000000</v>
      </c>
      <c r="J41" s="66">
        <v>6</v>
      </c>
      <c r="K41" s="66">
        <f>$E41*J41</f>
        <v>6000000</v>
      </c>
      <c r="L41" s="66">
        <v>6</v>
      </c>
      <c r="M41" s="66">
        <f>$E41*L41</f>
        <v>6000000</v>
      </c>
      <c r="N41" s="66">
        <v>6</v>
      </c>
      <c r="O41" s="66">
        <f>$E41*N41</f>
        <v>6000000</v>
      </c>
      <c r="P41" s="66">
        <f>G41+I41+K41+M41+O41</f>
        <v>30000000</v>
      </c>
      <c r="Q41" s="49" t="s">
        <v>178</v>
      </c>
    </row>
    <row r="42" spans="1:17" s="4" customFormat="1" ht="24.75" customHeight="1" x14ac:dyDescent="0.25">
      <c r="A42" s="6" t="s">
        <v>50</v>
      </c>
      <c r="B42" s="81" t="s">
        <v>306</v>
      </c>
      <c r="C42" s="46"/>
      <c r="D42" s="6"/>
      <c r="E42" s="67"/>
      <c r="F42" s="65">
        <f t="shared" ref="F42:P42" si="22">SUBTOTAL(9,F43:F45)</f>
        <v>5</v>
      </c>
      <c r="G42" s="65">
        <f t="shared" si="22"/>
        <v>5060000</v>
      </c>
      <c r="H42" s="65">
        <f t="shared" si="22"/>
        <v>5</v>
      </c>
      <c r="I42" s="65">
        <f t="shared" si="22"/>
        <v>5060000</v>
      </c>
      <c r="J42" s="65">
        <f t="shared" si="22"/>
        <v>5</v>
      </c>
      <c r="K42" s="65">
        <f t="shared" si="22"/>
        <v>5060000</v>
      </c>
      <c r="L42" s="65">
        <f t="shared" si="22"/>
        <v>5</v>
      </c>
      <c r="M42" s="65">
        <f t="shared" si="22"/>
        <v>5060000</v>
      </c>
      <c r="N42" s="65">
        <f t="shared" si="22"/>
        <v>5</v>
      </c>
      <c r="O42" s="65">
        <f t="shared" si="22"/>
        <v>5060000</v>
      </c>
      <c r="P42" s="65">
        <f t="shared" si="22"/>
        <v>25300000</v>
      </c>
      <c r="Q42" s="46"/>
    </row>
    <row r="43" spans="1:17" ht="22.5" x14ac:dyDescent="0.25">
      <c r="A43" s="7" t="s">
        <v>170</v>
      </c>
      <c r="B43" s="49" t="s">
        <v>188</v>
      </c>
      <c r="C43" s="49">
        <f>ROUND(('PL1'!D7+'PL1'!L7+'PL1'!N7+'PL1'!O7+'PL1'!P7)*10%,0)</f>
        <v>1</v>
      </c>
      <c r="D43" s="7" t="s">
        <v>212</v>
      </c>
      <c r="E43" s="66">
        <v>2024000</v>
      </c>
      <c r="F43" s="68">
        <f>C43</f>
        <v>1</v>
      </c>
      <c r="G43" s="66">
        <f>F43*E43</f>
        <v>2024000</v>
      </c>
      <c r="H43" s="66">
        <f>F43</f>
        <v>1</v>
      </c>
      <c r="I43" s="66">
        <f>H43*E43</f>
        <v>2024000</v>
      </c>
      <c r="J43" s="66">
        <f>F43</f>
        <v>1</v>
      </c>
      <c r="K43" s="66">
        <f>J43*E43</f>
        <v>2024000</v>
      </c>
      <c r="L43" s="66">
        <f>F43</f>
        <v>1</v>
      </c>
      <c r="M43" s="66">
        <f>L43*E43</f>
        <v>2024000</v>
      </c>
      <c r="N43" s="66">
        <f>F43</f>
        <v>1</v>
      </c>
      <c r="O43" s="66">
        <f>N43*E43</f>
        <v>2024000</v>
      </c>
      <c r="P43" s="66">
        <f>G43+I43+K43+M43+O43</f>
        <v>10120000</v>
      </c>
      <c r="Q43" s="102" t="s">
        <v>269</v>
      </c>
    </row>
    <row r="44" spans="1:17" ht="22.5" x14ac:dyDescent="0.25">
      <c r="A44" s="7" t="s">
        <v>170</v>
      </c>
      <c r="B44" s="49" t="s">
        <v>186</v>
      </c>
      <c r="C44" s="49"/>
      <c r="D44" s="71" t="s">
        <v>213</v>
      </c>
      <c r="E44" s="66">
        <v>2530000</v>
      </c>
      <c r="F44" s="68">
        <f>C44</f>
        <v>0</v>
      </c>
      <c r="G44" s="66">
        <f>F44*E44</f>
        <v>0</v>
      </c>
      <c r="H44" s="66">
        <f>F44</f>
        <v>0</v>
      </c>
      <c r="I44" s="66">
        <f>H44*E44</f>
        <v>0</v>
      </c>
      <c r="J44" s="66">
        <f>F44</f>
        <v>0</v>
      </c>
      <c r="K44" s="66">
        <f>J44*E44</f>
        <v>0</v>
      </c>
      <c r="L44" s="66">
        <f>F44</f>
        <v>0</v>
      </c>
      <c r="M44" s="66">
        <f>L44*E44</f>
        <v>0</v>
      </c>
      <c r="N44" s="66">
        <f>F44</f>
        <v>0</v>
      </c>
      <c r="O44" s="66">
        <f>N44*E44</f>
        <v>0</v>
      </c>
      <c r="P44" s="66">
        <f>G44+I44+K44+M44+O44</f>
        <v>0</v>
      </c>
      <c r="Q44" s="102" t="s">
        <v>349</v>
      </c>
    </row>
    <row r="45" spans="1:17" ht="22.5" x14ac:dyDescent="0.25">
      <c r="A45" s="7" t="s">
        <v>170</v>
      </c>
      <c r="B45" s="49" t="s">
        <v>187</v>
      </c>
      <c r="C45" s="49">
        <v>4</v>
      </c>
      <c r="D45" s="71" t="s">
        <v>213</v>
      </c>
      <c r="E45" s="66">
        <v>759000</v>
      </c>
      <c r="F45" s="68">
        <f>C45</f>
        <v>4</v>
      </c>
      <c r="G45" s="66">
        <f>F45*E45</f>
        <v>3036000</v>
      </c>
      <c r="H45" s="66">
        <f>F45</f>
        <v>4</v>
      </c>
      <c r="I45" s="66">
        <f>H45*E45</f>
        <v>3036000</v>
      </c>
      <c r="J45" s="66">
        <f>F45</f>
        <v>4</v>
      </c>
      <c r="K45" s="66">
        <f>J45*E45</f>
        <v>3036000</v>
      </c>
      <c r="L45" s="66">
        <f>F45</f>
        <v>4</v>
      </c>
      <c r="M45" s="66">
        <f>L45*E45</f>
        <v>3036000</v>
      </c>
      <c r="N45" s="66">
        <f>F45</f>
        <v>4</v>
      </c>
      <c r="O45" s="66">
        <f>N45*E45</f>
        <v>3036000</v>
      </c>
      <c r="P45" s="66">
        <f>G45+I45+K45+M45+O45</f>
        <v>15180000</v>
      </c>
      <c r="Q45" s="102" t="s">
        <v>350</v>
      </c>
    </row>
    <row r="46" spans="1:17" x14ac:dyDescent="0.25">
      <c r="O46" s="59" t="s">
        <v>182</v>
      </c>
      <c r="P46" s="60" t="e">
        <f>PL2A!O7+#REF!+#REF!+P6</f>
        <v>#REF!</v>
      </c>
    </row>
  </sheetData>
  <mergeCells count="16">
    <mergeCell ref="A1:Q1"/>
    <mergeCell ref="A2:Q2"/>
    <mergeCell ref="A3:Q3"/>
    <mergeCell ref="F4:G4"/>
    <mergeCell ref="A4:A5"/>
    <mergeCell ref="B4:B5"/>
    <mergeCell ref="D4:D5"/>
    <mergeCell ref="E4:E5"/>
    <mergeCell ref="H4:I4"/>
    <mergeCell ref="C4:C5"/>
    <mergeCell ref="J4:K4"/>
    <mergeCell ref="Q9:Q18"/>
    <mergeCell ref="L4:M4"/>
    <mergeCell ref="N4:O4"/>
    <mergeCell ref="P4:P5"/>
    <mergeCell ref="Q4:Q5"/>
  </mergeCells>
  <phoneticPr fontId="16" type="noConversion"/>
  <pageMargins left="0.54" right="0.15748031496062992" top="0.74803149606299213" bottom="0.74803149606299213" header="0.31496062992125984" footer="0.31496062992125984"/>
  <pageSetup paperSize="9" scale="65" orientation="landscape" r:id="rId1"/>
  <headerFooter differentFirst="1">
    <oddHeader>&amp;C&amp;P</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8"/>
  <sheetViews>
    <sheetView zoomScaleNormal="100" workbookViewId="0">
      <pane xSplit="2" ySplit="5" topLeftCell="C6" activePane="bottomRight" state="frozen"/>
      <selection pane="topRight" activeCell="B1" sqref="B1"/>
      <selection pane="bottomLeft" activeCell="A6" sqref="A6"/>
      <selection pane="bottomRight" activeCell="H10" sqref="H10"/>
    </sheetView>
  </sheetViews>
  <sheetFormatPr defaultRowHeight="18.75" outlineLevelRow="1" x14ac:dyDescent="0.25"/>
  <cols>
    <col min="1" max="1" width="7.140625" style="126" customWidth="1"/>
    <col min="2" max="2" width="38.85546875" customWidth="1"/>
    <col min="3" max="3" width="19.42578125" customWidth="1"/>
    <col min="4" max="4" width="19.7109375" customWidth="1"/>
    <col min="5" max="5" width="20.7109375" customWidth="1"/>
    <col min="6" max="6" width="18.140625" customWidth="1"/>
    <col min="7" max="7" width="19.28515625" customWidth="1"/>
    <col min="8" max="8" width="20.28515625" customWidth="1"/>
    <col min="9" max="9" width="18.140625" bestFit="1" customWidth="1"/>
    <col min="10" max="10" width="14.85546875" bestFit="1" customWidth="1"/>
  </cols>
  <sheetData>
    <row r="1" spans="1:11" x14ac:dyDescent="0.3">
      <c r="B1" s="204" t="s">
        <v>192</v>
      </c>
      <c r="C1" s="204"/>
      <c r="D1" s="204"/>
      <c r="E1" s="204"/>
      <c r="F1" s="204"/>
      <c r="G1" s="204"/>
      <c r="H1" s="204"/>
    </row>
    <row r="2" spans="1:11" x14ac:dyDescent="0.3">
      <c r="B2" s="204" t="s">
        <v>287</v>
      </c>
      <c r="C2" s="204"/>
      <c r="D2" s="204"/>
      <c r="E2" s="204"/>
      <c r="F2" s="204"/>
      <c r="G2" s="204"/>
      <c r="H2" s="204"/>
    </row>
    <row r="4" spans="1:11" s="50" customFormat="1" ht="30" customHeight="1" x14ac:dyDescent="0.25">
      <c r="A4" s="208" t="s">
        <v>28</v>
      </c>
      <c r="B4" s="205" t="s">
        <v>228</v>
      </c>
      <c r="C4" s="207" t="s">
        <v>192</v>
      </c>
      <c r="D4" s="207"/>
      <c r="E4" s="207"/>
      <c r="F4" s="207"/>
      <c r="G4" s="207"/>
      <c r="H4" s="207"/>
    </row>
    <row r="5" spans="1:11" s="63" customFormat="1" ht="30.75" customHeight="1" x14ac:dyDescent="0.25">
      <c r="A5" s="208"/>
      <c r="B5" s="206"/>
      <c r="C5" s="62">
        <v>2026</v>
      </c>
      <c r="D5" s="62">
        <v>2027</v>
      </c>
      <c r="E5" s="62">
        <v>2028</v>
      </c>
      <c r="F5" s="62">
        <v>2029</v>
      </c>
      <c r="G5" s="62">
        <v>2030</v>
      </c>
      <c r="H5" s="70" t="s">
        <v>191</v>
      </c>
    </row>
    <row r="6" spans="1:11" s="64" customFormat="1" ht="37.5" x14ac:dyDescent="0.25">
      <c r="A6" s="124" t="s">
        <v>35</v>
      </c>
      <c r="B6" s="12" t="s">
        <v>294</v>
      </c>
      <c r="C6" s="45">
        <f>SUBTOTAL(9,C7:C10)</f>
        <v>17529452380</v>
      </c>
      <c r="D6" s="45">
        <f t="shared" ref="D6:H6" si="0">SUBTOTAL(9,D7:D10)</f>
        <v>11914748260</v>
      </c>
      <c r="E6" s="45">
        <f t="shared" si="0"/>
        <v>13181360040</v>
      </c>
      <c r="F6" s="45">
        <f t="shared" si="0"/>
        <v>14397830960</v>
      </c>
      <c r="G6" s="45">
        <f t="shared" si="0"/>
        <v>13006485340</v>
      </c>
      <c r="H6" s="45">
        <f t="shared" si="0"/>
        <v>70029876980</v>
      </c>
    </row>
    <row r="7" spans="1:11" s="64" customFormat="1" ht="39" customHeight="1" x14ac:dyDescent="0.25">
      <c r="A7" s="123">
        <v>1</v>
      </c>
      <c r="B7" s="41" t="s">
        <v>189</v>
      </c>
      <c r="C7" s="48">
        <f>PL2A!F7+PL2B!F7</f>
        <v>2659224000</v>
      </c>
      <c r="D7" s="48">
        <f>PL2A!H7+PL2B!H7</f>
        <v>567814280</v>
      </c>
      <c r="E7" s="48">
        <f>PL2A!J7+PL2B!J7</f>
        <v>1925226060</v>
      </c>
      <c r="F7" s="48">
        <f>PL2A!L7+PL2B!L7</f>
        <v>999880980</v>
      </c>
      <c r="G7" s="48">
        <f>PL2A!N7+PL2B!N7</f>
        <v>2203827360</v>
      </c>
      <c r="H7" s="45">
        <f t="shared" ref="H7:H13" si="1">SUM(C7:G7)</f>
        <v>8355972680</v>
      </c>
    </row>
    <row r="8" spans="1:11" s="64" customFormat="1" ht="39" customHeight="1" x14ac:dyDescent="0.25">
      <c r="A8" s="123">
        <v>2</v>
      </c>
      <c r="B8" s="41" t="s">
        <v>285</v>
      </c>
      <c r="C8" s="48">
        <f>'PL3'!I6</f>
        <v>1180857600</v>
      </c>
      <c r="D8" s="48">
        <f>'PL3'!K6</f>
        <v>1180857600</v>
      </c>
      <c r="E8" s="48">
        <f>'PL3'!M6</f>
        <v>1180857600</v>
      </c>
      <c r="F8" s="48">
        <f>'PL3'!O6</f>
        <v>1180857600</v>
      </c>
      <c r="G8" s="48">
        <f>'PL3'!Q6</f>
        <v>1180857600</v>
      </c>
      <c r="H8" s="45">
        <f t="shared" si="1"/>
        <v>5904288000</v>
      </c>
    </row>
    <row r="9" spans="1:11" s="64" customFormat="1" ht="75" x14ac:dyDescent="0.25">
      <c r="A9" s="123">
        <v>3</v>
      </c>
      <c r="B9" s="106" t="s">
        <v>298</v>
      </c>
      <c r="C9" s="48">
        <f>'PL4'!F6</f>
        <v>13105738580</v>
      </c>
      <c r="D9" s="48">
        <f>'PL4'!I6</f>
        <v>9603644180</v>
      </c>
      <c r="E9" s="48">
        <f>'PL4'!L6</f>
        <v>9603644180</v>
      </c>
      <c r="F9" s="48">
        <f>'PL4'!O6</f>
        <v>11785460180</v>
      </c>
      <c r="G9" s="48">
        <f>'PL4'!R6</f>
        <v>9603644180</v>
      </c>
      <c r="H9" s="45">
        <f t="shared" si="1"/>
        <v>53702131300</v>
      </c>
    </row>
    <row r="10" spans="1:11" s="64" customFormat="1" ht="37.5" x14ac:dyDescent="0.25">
      <c r="A10" s="123">
        <v>4</v>
      </c>
      <c r="B10" s="106" t="s">
        <v>204</v>
      </c>
      <c r="C10" s="48">
        <f>'PL5'!G6</f>
        <v>583632200</v>
      </c>
      <c r="D10" s="48">
        <f>'PL5'!I6</f>
        <v>562432200</v>
      </c>
      <c r="E10" s="48">
        <f>'PL5'!K6</f>
        <v>471632200</v>
      </c>
      <c r="F10" s="48">
        <f>'PL5'!M6</f>
        <v>431632200</v>
      </c>
      <c r="G10" s="48">
        <f>'PL5'!O6</f>
        <v>18156200</v>
      </c>
      <c r="H10" s="45">
        <f t="shared" si="1"/>
        <v>2067485000</v>
      </c>
    </row>
    <row r="11" spans="1:11" s="64" customFormat="1" ht="57" customHeight="1" x14ac:dyDescent="0.25">
      <c r="A11" s="124" t="s">
        <v>47</v>
      </c>
      <c r="B11" s="12" t="s">
        <v>322</v>
      </c>
      <c r="C11" s="45">
        <f t="shared" ref="C11:H11" si="2">SUBTOTAL(9,C12:C13)</f>
        <v>350589048</v>
      </c>
      <c r="D11" s="45">
        <f t="shared" si="2"/>
        <v>238294965</v>
      </c>
      <c r="E11" s="45">
        <f t="shared" si="2"/>
        <v>263627201</v>
      </c>
      <c r="F11" s="45">
        <f t="shared" si="2"/>
        <v>287956619</v>
      </c>
      <c r="G11" s="45">
        <f t="shared" si="2"/>
        <v>260129707</v>
      </c>
      <c r="H11" s="45">
        <f t="shared" si="2"/>
        <v>1400597540</v>
      </c>
    </row>
    <row r="12" spans="1:11" s="64" customFormat="1" hidden="1" x14ac:dyDescent="0.25">
      <c r="A12" s="123">
        <v>5</v>
      </c>
      <c r="B12" s="106"/>
      <c r="C12" s="48"/>
      <c r="D12" s="48"/>
      <c r="E12" s="48"/>
      <c r="F12" s="48"/>
      <c r="G12" s="48"/>
      <c r="H12" s="48"/>
    </row>
    <row r="13" spans="1:11" s="61" customFormat="1" ht="37.5" x14ac:dyDescent="0.3">
      <c r="A13" s="123">
        <v>5</v>
      </c>
      <c r="B13" s="106" t="s">
        <v>290</v>
      </c>
      <c r="C13" s="66">
        <f>ROUND((C6+C12)*2%,0)</f>
        <v>350589048</v>
      </c>
      <c r="D13" s="66">
        <f>ROUND((D6+D12)*2%,0)</f>
        <v>238294965</v>
      </c>
      <c r="E13" s="66">
        <f>ROUND((E6+E12)*2%,0)</f>
        <v>263627201</v>
      </c>
      <c r="F13" s="66">
        <f>ROUND((F6+F12)*2%,0)</f>
        <v>287956619</v>
      </c>
      <c r="G13" s="66">
        <f>ROUND((G6+G12)*2%,0)</f>
        <v>260129707</v>
      </c>
      <c r="H13" s="48">
        <f t="shared" si="1"/>
        <v>1400597540</v>
      </c>
      <c r="I13" s="122"/>
      <c r="J13" s="122"/>
    </row>
    <row r="14" spans="1:11" s="2" customFormat="1" ht="28.5" customHeight="1" x14ac:dyDescent="0.3">
      <c r="A14" s="124" t="s">
        <v>117</v>
      </c>
      <c r="B14" s="11" t="s">
        <v>222</v>
      </c>
      <c r="C14" s="65">
        <f t="shared" ref="C14:G14" si="3">SUBTOTAL(9,C6:C13)</f>
        <v>17880041428</v>
      </c>
      <c r="D14" s="65">
        <f t="shared" si="3"/>
        <v>12153043225</v>
      </c>
      <c r="E14" s="65">
        <f t="shared" si="3"/>
        <v>13444987241</v>
      </c>
      <c r="F14" s="65">
        <f t="shared" si="3"/>
        <v>14685787579</v>
      </c>
      <c r="G14" s="65">
        <f t="shared" si="3"/>
        <v>13266615047</v>
      </c>
      <c r="H14" s="65">
        <f>SUBTOTAL(9,H6:H13)</f>
        <v>71430474520</v>
      </c>
    </row>
    <row r="15" spans="1:11" s="130" customFormat="1" hidden="1" outlineLevel="1" x14ac:dyDescent="0.3">
      <c r="A15" s="129"/>
      <c r="G15" s="130" t="s">
        <v>297</v>
      </c>
      <c r="H15" s="131">
        <f>H9+H12</f>
        <v>53702131300</v>
      </c>
    </row>
    <row r="16" spans="1:11" s="133" customFormat="1" collapsed="1" x14ac:dyDescent="0.2">
      <c r="A16" s="132"/>
      <c r="C16" s="128"/>
      <c r="D16" s="128"/>
      <c r="E16" s="128"/>
      <c r="F16" s="128"/>
      <c r="G16" s="128"/>
      <c r="H16" s="128"/>
      <c r="I16" s="134"/>
      <c r="J16" s="134"/>
      <c r="K16" s="134"/>
    </row>
    <row r="17" spans="1:8" s="130" customFormat="1" x14ac:dyDescent="0.3">
      <c r="A17" s="129"/>
      <c r="C17" s="135"/>
      <c r="D17" s="135"/>
      <c r="E17" s="135"/>
      <c r="F17" s="135"/>
      <c r="G17" s="135"/>
      <c r="H17" s="128"/>
    </row>
    <row r="18" spans="1:8" s="135" customFormat="1" x14ac:dyDescent="0.2">
      <c r="A18" s="129"/>
      <c r="C18" s="128"/>
      <c r="D18" s="128"/>
      <c r="E18" s="128"/>
      <c r="F18" s="128"/>
      <c r="G18" s="128"/>
      <c r="H18" s="128"/>
    </row>
    <row r="19" spans="1:8" s="61" customFormat="1" x14ac:dyDescent="0.3">
      <c r="A19" s="125"/>
      <c r="C19" s="121"/>
      <c r="D19" s="121"/>
      <c r="E19" s="121"/>
      <c r="F19" s="121"/>
      <c r="G19" s="121"/>
      <c r="H19" s="121"/>
    </row>
    <row r="20" spans="1:8" s="61" customFormat="1" x14ac:dyDescent="0.3">
      <c r="A20" s="125"/>
      <c r="C20" s="122"/>
      <c r="D20" s="122"/>
      <c r="E20" s="122"/>
      <c r="F20" s="122"/>
      <c r="G20" s="122"/>
      <c r="H20" s="122"/>
    </row>
    <row r="21" spans="1:8" s="61" customFormat="1" x14ac:dyDescent="0.3">
      <c r="A21" s="125"/>
    </row>
    <row r="22" spans="1:8" s="61" customFormat="1" x14ac:dyDescent="0.3">
      <c r="A22" s="125"/>
    </row>
    <row r="23" spans="1:8" s="61" customFormat="1" x14ac:dyDescent="0.3">
      <c r="A23" s="125"/>
    </row>
    <row r="24" spans="1:8" s="61" customFormat="1" x14ac:dyDescent="0.3">
      <c r="A24" s="125"/>
    </row>
    <row r="25" spans="1:8" s="61" customFormat="1" x14ac:dyDescent="0.3">
      <c r="A25" s="125"/>
    </row>
    <row r="26" spans="1:8" s="61" customFormat="1" x14ac:dyDescent="0.3">
      <c r="A26" s="125"/>
    </row>
    <row r="27" spans="1:8" s="61" customFormat="1" x14ac:dyDescent="0.3">
      <c r="A27" s="125"/>
    </row>
    <row r="28" spans="1:8" s="61" customFormat="1" x14ac:dyDescent="0.3">
      <c r="A28" s="125"/>
    </row>
  </sheetData>
  <mergeCells count="5">
    <mergeCell ref="B1:H1"/>
    <mergeCell ref="B2:H2"/>
    <mergeCell ref="B4:B5"/>
    <mergeCell ref="C4:H4"/>
    <mergeCell ref="A4:A5"/>
  </mergeCells>
  <pageMargins left="0.74803149606299213" right="0.11811023622047245" top="0.78740157480314965" bottom="0.35433070866141736" header="0.39370078740157483" footer="0.27559055118110237"/>
  <pageSetup paperSize="9" scale="8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7"/>
  <sheetViews>
    <sheetView topLeftCell="A3" workbookViewId="0">
      <selection activeCell="L6" sqref="L6"/>
    </sheetView>
  </sheetViews>
  <sheetFormatPr defaultRowHeight="18.75" x14ac:dyDescent="0.3"/>
  <cols>
    <col min="1" max="1" width="5" style="108" bestFit="1" customWidth="1"/>
    <col min="2" max="2" width="47.5703125" customWidth="1"/>
    <col min="3" max="3" width="19" customWidth="1"/>
    <col min="4" max="4" width="17.28515625" customWidth="1"/>
    <col min="5" max="5" width="17.7109375" customWidth="1"/>
    <col min="6" max="6" width="17.28515625" customWidth="1"/>
    <col min="7" max="7" width="18.140625" customWidth="1"/>
    <col min="8" max="8" width="17.5703125" customWidth="1"/>
  </cols>
  <sheetData>
    <row r="1" spans="1:8" ht="22.15" customHeight="1" x14ac:dyDescent="0.3">
      <c r="A1" s="204" t="s">
        <v>229</v>
      </c>
      <c r="B1" s="204"/>
      <c r="C1" s="204"/>
      <c r="D1" s="204"/>
      <c r="E1" s="204"/>
      <c r="F1" s="204"/>
      <c r="G1" s="204"/>
      <c r="H1" s="204"/>
    </row>
    <row r="2" spans="1:8" ht="73.150000000000006" customHeight="1" x14ac:dyDescent="0.3">
      <c r="A2" s="215" t="s">
        <v>363</v>
      </c>
      <c r="B2" s="215"/>
      <c r="C2" s="215"/>
      <c r="D2" s="215"/>
      <c r="E2" s="215"/>
      <c r="F2" s="215"/>
      <c r="G2" s="215"/>
      <c r="H2" s="215"/>
    </row>
    <row r="4" spans="1:8" s="50" customFormat="1" ht="16.5" x14ac:dyDescent="0.25">
      <c r="A4" s="214" t="s">
        <v>28</v>
      </c>
      <c r="B4" s="209" t="s">
        <v>232</v>
      </c>
      <c r="C4" s="211" t="s">
        <v>233</v>
      </c>
      <c r="D4" s="212"/>
      <c r="E4" s="212"/>
      <c r="F4" s="212"/>
      <c r="G4" s="212"/>
      <c r="H4" s="213"/>
    </row>
    <row r="5" spans="1:8" s="63" customFormat="1" ht="45" customHeight="1" x14ac:dyDescent="0.25">
      <c r="A5" s="214"/>
      <c r="B5" s="210"/>
      <c r="C5" s="70" t="s">
        <v>275</v>
      </c>
      <c r="D5" s="70" t="s">
        <v>276</v>
      </c>
      <c r="E5" s="70" t="s">
        <v>277</v>
      </c>
      <c r="F5" s="70" t="s">
        <v>278</v>
      </c>
      <c r="G5" s="70" t="s">
        <v>279</v>
      </c>
      <c r="H5" s="70" t="s">
        <v>280</v>
      </c>
    </row>
    <row r="6" spans="1:8" s="8" customFormat="1" ht="22.5" customHeight="1" x14ac:dyDescent="0.25">
      <c r="A6" s="11" t="s">
        <v>35</v>
      </c>
      <c r="B6" s="11" t="s">
        <v>222</v>
      </c>
      <c r="C6" s="65">
        <f>'TONG HOP'!$H$14</f>
        <v>71430474520</v>
      </c>
      <c r="D6" s="65">
        <f>'TONG HOP'!C14</f>
        <v>17880041428</v>
      </c>
      <c r="E6" s="65">
        <f>'TONG HOP'!D14</f>
        <v>12153043225</v>
      </c>
      <c r="F6" s="65">
        <f>'TONG HOP'!E14</f>
        <v>13444987241</v>
      </c>
      <c r="G6" s="65">
        <f>'TONG HOP'!F14</f>
        <v>14685787579</v>
      </c>
      <c r="H6" s="65">
        <f>'TONG HOP'!G14</f>
        <v>13266615047</v>
      </c>
    </row>
    <row r="7" spans="1:8" s="8" customFormat="1" ht="22.5" customHeight="1" x14ac:dyDescent="0.25">
      <c r="A7" s="11" t="s">
        <v>47</v>
      </c>
      <c r="B7" s="11" t="s">
        <v>332</v>
      </c>
      <c r="C7" s="45">
        <f>'TONG HOP'!$H$6</f>
        <v>70029876980</v>
      </c>
      <c r="D7" s="45">
        <f>'TONG HOP'!C6</f>
        <v>17529452380</v>
      </c>
      <c r="E7" s="45">
        <f>'TONG HOP'!D6</f>
        <v>11914748260</v>
      </c>
      <c r="F7" s="45">
        <f>'TONG HOP'!E6</f>
        <v>13181360040</v>
      </c>
      <c r="G7" s="45">
        <f>'TONG HOP'!F6</f>
        <v>14397830960</v>
      </c>
      <c r="H7" s="45">
        <f>'TONG HOP'!G6</f>
        <v>13006485340</v>
      </c>
    </row>
    <row r="8" spans="1:8" s="64" customFormat="1" ht="37.5" x14ac:dyDescent="0.25">
      <c r="A8" s="41">
        <v>1</v>
      </c>
      <c r="B8" s="107" t="s">
        <v>230</v>
      </c>
      <c r="C8" s="48">
        <f>'TONG HOP'!H7</f>
        <v>8355972680</v>
      </c>
      <c r="D8" s="48">
        <f>'TONG HOP'!C7</f>
        <v>2659224000</v>
      </c>
      <c r="E8" s="48">
        <f>'TONG HOP'!D7</f>
        <v>567814280</v>
      </c>
      <c r="F8" s="48">
        <f>'TONG HOP'!E7</f>
        <v>1925226060</v>
      </c>
      <c r="G8" s="48">
        <f>'TONG HOP'!F7</f>
        <v>999880980</v>
      </c>
      <c r="H8" s="48">
        <f>'TONG HOP'!G7</f>
        <v>2203827360</v>
      </c>
    </row>
    <row r="9" spans="1:8" s="64" customFormat="1" ht="75" x14ac:dyDescent="0.25">
      <c r="A9" s="41">
        <v>2</v>
      </c>
      <c r="B9" s="107" t="s">
        <v>286</v>
      </c>
      <c r="C9" s="48">
        <f>'TONG HOP'!H8</f>
        <v>5904288000</v>
      </c>
      <c r="D9" s="48">
        <f>'TONG HOP'!C8</f>
        <v>1180857600</v>
      </c>
      <c r="E9" s="48">
        <f>'TONG HOP'!D8</f>
        <v>1180857600</v>
      </c>
      <c r="F9" s="48">
        <f>'TONG HOP'!E8</f>
        <v>1180857600</v>
      </c>
      <c r="G9" s="48">
        <f>'TONG HOP'!F8</f>
        <v>1180857600</v>
      </c>
      <c r="H9" s="48">
        <f>'TONG HOP'!G8</f>
        <v>1180857600</v>
      </c>
    </row>
    <row r="10" spans="1:8" s="64" customFormat="1" ht="56.25" x14ac:dyDescent="0.25">
      <c r="A10" s="41">
        <v>3</v>
      </c>
      <c r="B10" s="117" t="s">
        <v>291</v>
      </c>
      <c r="C10" s="48">
        <f>'TONG HOP'!H9</f>
        <v>53702131300</v>
      </c>
      <c r="D10" s="48">
        <f>'TONG HOP'!C9</f>
        <v>13105738580</v>
      </c>
      <c r="E10" s="48">
        <f>'TONG HOP'!D9</f>
        <v>9603644180</v>
      </c>
      <c r="F10" s="48">
        <f>'TONG HOP'!E9</f>
        <v>9603644180</v>
      </c>
      <c r="G10" s="48">
        <f>'TONG HOP'!F9</f>
        <v>11785460180</v>
      </c>
      <c r="H10" s="48">
        <f>'TONG HOP'!G9</f>
        <v>9603644180</v>
      </c>
    </row>
    <row r="11" spans="1:8" s="64" customFormat="1" ht="56.25" x14ac:dyDescent="0.25">
      <c r="A11" s="41">
        <v>4</v>
      </c>
      <c r="B11" s="117" t="s">
        <v>231</v>
      </c>
      <c r="C11" s="48">
        <f>'TONG HOP'!H10</f>
        <v>2067485000</v>
      </c>
      <c r="D11" s="48">
        <f>'TONG HOP'!C10</f>
        <v>583632200</v>
      </c>
      <c r="E11" s="48">
        <f>'TONG HOP'!D10</f>
        <v>562432200</v>
      </c>
      <c r="F11" s="48">
        <f>'TONG HOP'!E10</f>
        <v>471632200</v>
      </c>
      <c r="G11" s="48">
        <f>'TONG HOP'!F10</f>
        <v>431632200</v>
      </c>
      <c r="H11" s="48">
        <f>'TONG HOP'!G10</f>
        <v>18156200</v>
      </c>
    </row>
    <row r="12" spans="1:8" s="8" customFormat="1" hidden="1" x14ac:dyDescent="0.25">
      <c r="A12" s="11" t="s">
        <v>48</v>
      </c>
      <c r="B12" s="118">
        <f>'TONG HOP'!B12</f>
        <v>0</v>
      </c>
      <c r="C12" s="45">
        <f>'TONG HOP'!H12</f>
        <v>0</v>
      </c>
      <c r="D12" s="45">
        <f>'TONG HOP'!C12</f>
        <v>0</v>
      </c>
      <c r="E12" s="45">
        <f>'TONG HOP'!D12</f>
        <v>0</v>
      </c>
      <c r="F12" s="45">
        <f>'TONG HOP'!E12</f>
        <v>0</v>
      </c>
      <c r="G12" s="45">
        <f>'TONG HOP'!F12</f>
        <v>0</v>
      </c>
      <c r="H12" s="45">
        <f>'TONG HOP'!G12</f>
        <v>0</v>
      </c>
    </row>
    <row r="13" spans="1:8" s="8" customFormat="1" ht="22.5" customHeight="1" x14ac:dyDescent="0.25">
      <c r="A13" s="11" t="s">
        <v>48</v>
      </c>
      <c r="B13" s="119" t="s">
        <v>323</v>
      </c>
      <c r="C13" s="65">
        <f>'TONG HOP'!$H$13</f>
        <v>1400597540</v>
      </c>
      <c r="D13" s="65">
        <f>'TONG HOP'!C13</f>
        <v>350589048</v>
      </c>
      <c r="E13" s="65">
        <f>'TONG HOP'!D13</f>
        <v>238294965</v>
      </c>
      <c r="F13" s="65">
        <f>'TONG HOP'!E13</f>
        <v>263627201</v>
      </c>
      <c r="G13" s="65">
        <f>'TONG HOP'!F13</f>
        <v>287956619</v>
      </c>
      <c r="H13" s="65">
        <f>'TONG HOP'!G13</f>
        <v>260129707</v>
      </c>
    </row>
    <row r="14" spans="1:8" s="61" customFormat="1" x14ac:dyDescent="0.3">
      <c r="A14" s="109"/>
    </row>
    <row r="15" spans="1:8" s="61" customFormat="1" x14ac:dyDescent="0.3">
      <c r="A15" s="109"/>
    </row>
    <row r="16" spans="1:8" s="61" customFormat="1" x14ac:dyDescent="0.3">
      <c r="A16" s="109"/>
    </row>
    <row r="17" spans="1:1" s="61" customFormat="1" x14ac:dyDescent="0.3">
      <c r="A17" s="109"/>
    </row>
    <row r="18" spans="1:1" s="61" customFormat="1" x14ac:dyDescent="0.3">
      <c r="A18" s="109"/>
    </row>
    <row r="19" spans="1:1" s="61" customFormat="1" x14ac:dyDescent="0.3">
      <c r="A19" s="109"/>
    </row>
    <row r="20" spans="1:1" s="61" customFormat="1" x14ac:dyDescent="0.3">
      <c r="A20" s="109"/>
    </row>
    <row r="21" spans="1:1" s="61" customFormat="1" x14ac:dyDescent="0.3">
      <c r="A21" s="109"/>
    </row>
    <row r="22" spans="1:1" s="61" customFormat="1" x14ac:dyDescent="0.3">
      <c r="A22" s="109"/>
    </row>
    <row r="23" spans="1:1" s="61" customFormat="1" x14ac:dyDescent="0.3">
      <c r="A23" s="109"/>
    </row>
    <row r="24" spans="1:1" s="61" customFormat="1" x14ac:dyDescent="0.3">
      <c r="A24" s="109"/>
    </row>
    <row r="25" spans="1:1" s="61" customFormat="1" x14ac:dyDescent="0.3">
      <c r="A25" s="109"/>
    </row>
    <row r="26" spans="1:1" s="61" customFormat="1" x14ac:dyDescent="0.3">
      <c r="A26" s="109"/>
    </row>
    <row r="27" spans="1:1" s="61" customFormat="1" x14ac:dyDescent="0.3">
      <c r="A27" s="109"/>
    </row>
  </sheetData>
  <mergeCells count="5">
    <mergeCell ref="B4:B5"/>
    <mergeCell ref="C4:H4"/>
    <mergeCell ref="A4:A5"/>
    <mergeCell ref="A1:H1"/>
    <mergeCell ref="A2:H2"/>
  </mergeCells>
  <pageMargins left="0.46" right="0.11811023622047245" top="0.78740157480314965" bottom="0.98425196850393704" header="0.51181102362204722" footer="0.51181102362204722"/>
  <pageSetup paperSize="9" scale="87"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77"/>
  <sheetViews>
    <sheetView view="pageBreakPreview" zoomScaleNormal="75" zoomScaleSheetLayoutView="100" workbookViewId="0">
      <pane xSplit="2" ySplit="4" topLeftCell="C59" activePane="bottomRight" state="frozen"/>
      <selection pane="topRight" activeCell="C1" sqref="C1"/>
      <selection pane="bottomLeft" activeCell="A5" sqref="A5"/>
      <selection pane="bottomRight" activeCell="P68" sqref="P68"/>
    </sheetView>
  </sheetViews>
  <sheetFormatPr defaultColWidth="5.28515625" defaultRowHeight="15.75" x14ac:dyDescent="0.25"/>
  <cols>
    <col min="1" max="1" width="4.85546875" style="15" customWidth="1"/>
    <col min="2" max="2" width="43.85546875" style="14" customWidth="1"/>
    <col min="3" max="13" width="7.42578125" style="14" customWidth="1"/>
    <col min="14" max="14" width="6.28515625" style="14" customWidth="1"/>
    <col min="15" max="15" width="5.85546875" style="14" customWidth="1"/>
    <col min="16" max="16" width="6.140625" style="14" customWidth="1"/>
    <col min="17" max="17" width="6.85546875" style="14" customWidth="1"/>
    <col min="18" max="18" width="7.5703125" style="14" customWidth="1"/>
    <col min="19" max="19" width="6.28515625" style="14" customWidth="1"/>
    <col min="20" max="20" width="7.42578125" style="14" customWidth="1"/>
    <col min="21" max="244" width="9.140625" style="14" customWidth="1"/>
    <col min="245" max="245" width="4.85546875" style="14" customWidth="1"/>
    <col min="246" max="246" width="43.85546875" style="14" customWidth="1"/>
    <col min="247" max="247" width="8.42578125" style="14" customWidth="1"/>
    <col min="248" max="249" width="5.85546875" style="14" bestFit="1" customWidth="1"/>
    <col min="250" max="250" width="6.42578125" style="14" customWidth="1"/>
    <col min="251" max="251" width="7.7109375" style="14" bestFit="1" customWidth="1"/>
    <col min="252" max="252" width="8.7109375" style="14" bestFit="1" customWidth="1"/>
    <col min="253" max="253" width="6.28515625" style="14" customWidth="1"/>
    <col min="254" max="254" width="6.42578125" style="14" customWidth="1"/>
    <col min="255" max="16384" width="5.28515625" style="14"/>
  </cols>
  <sheetData>
    <row r="1" spans="1:20" ht="33.75" customHeight="1" x14ac:dyDescent="0.25">
      <c r="A1" s="216" t="s">
        <v>81</v>
      </c>
      <c r="B1" s="216"/>
      <c r="C1" s="216"/>
      <c r="D1" s="216"/>
      <c r="E1" s="216"/>
      <c r="F1" s="216"/>
      <c r="G1" s="216"/>
      <c r="H1" s="216"/>
      <c r="I1" s="216"/>
      <c r="J1" s="216"/>
      <c r="K1" s="216"/>
      <c r="L1" s="216"/>
      <c r="M1" s="216"/>
      <c r="N1" s="216"/>
      <c r="O1" s="216"/>
      <c r="P1" s="216"/>
      <c r="Q1" s="216"/>
      <c r="R1" s="216"/>
      <c r="S1" s="216"/>
      <c r="T1" s="216"/>
    </row>
    <row r="2" spans="1:20" ht="16.5" thickBot="1" x14ac:dyDescent="0.3"/>
    <row r="3" spans="1:20" s="16" customFormat="1" ht="24.75" customHeight="1" x14ac:dyDescent="0.25">
      <c r="A3" s="218" t="s">
        <v>28</v>
      </c>
      <c r="B3" s="220" t="s">
        <v>66</v>
      </c>
      <c r="C3" s="222" t="s">
        <v>240</v>
      </c>
      <c r="D3" s="222"/>
      <c r="E3" s="222"/>
      <c r="F3" s="222"/>
      <c r="G3" s="222"/>
      <c r="H3" s="222"/>
      <c r="I3" s="222"/>
      <c r="J3" s="222"/>
      <c r="K3" s="222"/>
      <c r="L3" s="222"/>
      <c r="M3" s="222"/>
      <c r="N3" s="222"/>
      <c r="O3" s="222"/>
      <c r="P3" s="222"/>
      <c r="Q3" s="222"/>
      <c r="R3" s="222"/>
      <c r="S3" s="222"/>
      <c r="T3" s="223"/>
    </row>
    <row r="4" spans="1:20" s="16" customFormat="1" ht="47.25" x14ac:dyDescent="0.25">
      <c r="A4" s="219"/>
      <c r="B4" s="221"/>
      <c r="C4" s="21" t="s">
        <v>67</v>
      </c>
      <c r="D4" s="21" t="s">
        <v>68</v>
      </c>
      <c r="E4" s="21" t="s">
        <v>69</v>
      </c>
      <c r="F4" s="21" t="s">
        <v>70</v>
      </c>
      <c r="G4" s="21" t="s">
        <v>71</v>
      </c>
      <c r="H4" s="21" t="s">
        <v>72</v>
      </c>
      <c r="I4" s="21" t="s">
        <v>73</v>
      </c>
      <c r="J4" s="22" t="s">
        <v>97</v>
      </c>
      <c r="K4" s="22" t="s">
        <v>90</v>
      </c>
      <c r="L4" s="22" t="s">
        <v>91</v>
      </c>
      <c r="M4" s="22" t="s">
        <v>92</v>
      </c>
      <c r="N4" s="23" t="s">
        <v>93</v>
      </c>
      <c r="O4" s="23" t="s">
        <v>94</v>
      </c>
      <c r="P4" s="23" t="s">
        <v>95</v>
      </c>
      <c r="Q4" s="23" t="s">
        <v>80</v>
      </c>
      <c r="R4" s="25" t="s">
        <v>96</v>
      </c>
      <c r="S4" s="25" t="s">
        <v>110</v>
      </c>
      <c r="T4" s="26" t="s">
        <v>74</v>
      </c>
    </row>
    <row r="5" spans="1:20" s="16" customFormat="1" ht="24.75" customHeight="1" x14ac:dyDescent="0.25">
      <c r="A5" s="20">
        <v>1</v>
      </c>
      <c r="B5" s="23" t="s">
        <v>333</v>
      </c>
      <c r="C5" s="17">
        <v>2</v>
      </c>
      <c r="D5" s="17">
        <v>1</v>
      </c>
      <c r="E5" s="17">
        <v>1</v>
      </c>
      <c r="F5" s="17">
        <v>2</v>
      </c>
      <c r="G5" s="17">
        <v>1</v>
      </c>
      <c r="H5" s="17">
        <v>1</v>
      </c>
      <c r="I5" s="17">
        <v>1</v>
      </c>
      <c r="J5" s="17">
        <v>1</v>
      </c>
      <c r="K5" s="17" t="s">
        <v>75</v>
      </c>
      <c r="L5" s="17" t="s">
        <v>75</v>
      </c>
      <c r="M5" s="17" t="s">
        <v>75</v>
      </c>
      <c r="N5" s="17" t="s">
        <v>75</v>
      </c>
      <c r="O5" s="17" t="s">
        <v>75</v>
      </c>
      <c r="P5" s="17" t="s">
        <v>75</v>
      </c>
      <c r="Q5" s="17" t="s">
        <v>75</v>
      </c>
      <c r="R5" s="17" t="s">
        <v>75</v>
      </c>
      <c r="S5" s="17" t="s">
        <v>75</v>
      </c>
      <c r="T5" s="24" t="s">
        <v>75</v>
      </c>
    </row>
    <row r="6" spans="1:20" s="16" customFormat="1" ht="31.5" x14ac:dyDescent="0.25">
      <c r="A6" s="20">
        <v>2</v>
      </c>
      <c r="B6" s="22" t="s">
        <v>335</v>
      </c>
      <c r="C6" s="17">
        <v>2</v>
      </c>
      <c r="D6" s="17">
        <v>1</v>
      </c>
      <c r="E6" s="17">
        <v>1</v>
      </c>
      <c r="F6" s="17">
        <v>2</v>
      </c>
      <c r="G6" s="17">
        <v>1</v>
      </c>
      <c r="H6" s="17">
        <v>1</v>
      </c>
      <c r="I6" s="17">
        <v>1</v>
      </c>
      <c r="J6" s="17">
        <v>1</v>
      </c>
      <c r="K6" s="17" t="s">
        <v>75</v>
      </c>
      <c r="L6" s="17" t="s">
        <v>75</v>
      </c>
      <c r="M6" s="17" t="s">
        <v>75</v>
      </c>
      <c r="N6" s="17" t="s">
        <v>75</v>
      </c>
      <c r="O6" s="17" t="s">
        <v>75</v>
      </c>
      <c r="P6" s="17" t="s">
        <v>75</v>
      </c>
      <c r="Q6" s="17" t="s">
        <v>75</v>
      </c>
      <c r="R6" s="17" t="s">
        <v>75</v>
      </c>
      <c r="S6" s="17" t="s">
        <v>75</v>
      </c>
      <c r="T6" s="24" t="s">
        <v>75</v>
      </c>
    </row>
    <row r="7" spans="1:20" s="16" customFormat="1" ht="24" customHeight="1" x14ac:dyDescent="0.25">
      <c r="A7" s="20">
        <v>3</v>
      </c>
      <c r="B7" s="23" t="s">
        <v>353</v>
      </c>
      <c r="C7" s="17">
        <v>2</v>
      </c>
      <c r="D7" s="17" t="s">
        <v>75</v>
      </c>
      <c r="E7" s="17">
        <v>1</v>
      </c>
      <c r="F7" s="17">
        <v>2</v>
      </c>
      <c r="G7" s="17">
        <v>1</v>
      </c>
      <c r="H7" s="17">
        <v>1</v>
      </c>
      <c r="I7" s="17">
        <v>1</v>
      </c>
      <c r="J7" s="17">
        <v>1</v>
      </c>
      <c r="K7" s="17" t="s">
        <v>75</v>
      </c>
      <c r="L7" s="17" t="s">
        <v>75</v>
      </c>
      <c r="M7" s="17" t="s">
        <v>75</v>
      </c>
      <c r="N7" s="17" t="s">
        <v>75</v>
      </c>
      <c r="O7" s="17" t="s">
        <v>75</v>
      </c>
      <c r="P7" s="17" t="s">
        <v>75</v>
      </c>
      <c r="Q7" s="17" t="s">
        <v>75</v>
      </c>
      <c r="R7" s="17" t="s">
        <v>75</v>
      </c>
      <c r="S7" s="17" t="s">
        <v>75</v>
      </c>
      <c r="T7" s="24" t="s">
        <v>75</v>
      </c>
    </row>
    <row r="8" spans="1:20" s="16" customFormat="1" ht="24" customHeight="1" x14ac:dyDescent="0.25">
      <c r="A8" s="20">
        <v>4</v>
      </c>
      <c r="B8" s="23" t="s">
        <v>352</v>
      </c>
      <c r="C8" s="17">
        <v>2</v>
      </c>
      <c r="D8" s="17" t="s">
        <v>75</v>
      </c>
      <c r="E8" s="17">
        <v>1</v>
      </c>
      <c r="F8" s="17">
        <v>2</v>
      </c>
      <c r="G8" s="17">
        <v>1</v>
      </c>
      <c r="H8" s="17">
        <v>1</v>
      </c>
      <c r="I8" s="17">
        <v>1</v>
      </c>
      <c r="J8" s="17">
        <v>1</v>
      </c>
      <c r="K8" s="17" t="s">
        <v>75</v>
      </c>
      <c r="L8" s="17" t="s">
        <v>75</v>
      </c>
      <c r="M8" s="17" t="s">
        <v>75</v>
      </c>
      <c r="N8" s="17" t="s">
        <v>75</v>
      </c>
      <c r="O8" s="17" t="s">
        <v>75</v>
      </c>
      <c r="P8" s="17" t="s">
        <v>75</v>
      </c>
      <c r="Q8" s="17" t="s">
        <v>75</v>
      </c>
      <c r="R8" s="17" t="s">
        <v>75</v>
      </c>
      <c r="S8" s="17" t="s">
        <v>75</v>
      </c>
      <c r="T8" s="24" t="s">
        <v>75</v>
      </c>
    </row>
    <row r="9" spans="1:20" s="16" customFormat="1" ht="24" customHeight="1" x14ac:dyDescent="0.25">
      <c r="A9" s="27">
        <v>5</v>
      </c>
      <c r="B9" s="28" t="s">
        <v>327</v>
      </c>
      <c r="C9" s="29">
        <v>2</v>
      </c>
      <c r="D9" s="29">
        <v>1</v>
      </c>
      <c r="E9" s="29">
        <v>1</v>
      </c>
      <c r="F9" s="29">
        <v>2</v>
      </c>
      <c r="G9" s="29">
        <v>1</v>
      </c>
      <c r="H9" s="29">
        <v>1</v>
      </c>
      <c r="I9" s="29">
        <v>1</v>
      </c>
      <c r="J9" s="29">
        <v>1</v>
      </c>
      <c r="K9" s="29">
        <v>2</v>
      </c>
      <c r="L9" s="29">
        <v>2</v>
      </c>
      <c r="M9" s="29">
        <v>2</v>
      </c>
      <c r="N9" s="29">
        <v>1</v>
      </c>
      <c r="O9" s="29">
        <v>1</v>
      </c>
      <c r="P9" s="29">
        <v>1</v>
      </c>
      <c r="Q9" s="29">
        <v>1</v>
      </c>
      <c r="R9" s="29">
        <v>1</v>
      </c>
      <c r="S9" s="30">
        <v>1</v>
      </c>
      <c r="T9" s="24"/>
    </row>
    <row r="10" spans="1:20" s="16" customFormat="1" ht="24" customHeight="1" x14ac:dyDescent="0.25">
      <c r="A10" s="20">
        <v>6</v>
      </c>
      <c r="B10" s="23" t="s">
        <v>354</v>
      </c>
      <c r="C10" s="17">
        <v>2</v>
      </c>
      <c r="D10" s="17" t="s">
        <v>75</v>
      </c>
      <c r="E10" s="17">
        <v>2</v>
      </c>
      <c r="F10" s="17">
        <v>2</v>
      </c>
      <c r="G10" s="17">
        <v>1</v>
      </c>
      <c r="H10" s="17">
        <v>1</v>
      </c>
      <c r="I10" s="17">
        <v>1</v>
      </c>
      <c r="J10" s="17">
        <v>1</v>
      </c>
      <c r="K10" s="17">
        <v>2</v>
      </c>
      <c r="L10" s="17">
        <v>2</v>
      </c>
      <c r="M10" s="17">
        <v>2</v>
      </c>
      <c r="N10" s="17">
        <v>1</v>
      </c>
      <c r="O10" s="17">
        <v>1</v>
      </c>
      <c r="P10" s="17">
        <v>1</v>
      </c>
      <c r="Q10" s="17">
        <v>1</v>
      </c>
      <c r="R10" s="17">
        <v>1</v>
      </c>
      <c r="S10" s="18">
        <v>1</v>
      </c>
      <c r="T10" s="24">
        <v>1</v>
      </c>
    </row>
    <row r="11" spans="1:20" s="16" customFormat="1" ht="24" customHeight="1" thickBot="1" x14ac:dyDescent="0.3">
      <c r="A11" s="31">
        <v>7</v>
      </c>
      <c r="B11" s="32" t="s">
        <v>98</v>
      </c>
      <c r="C11" s="33"/>
      <c r="D11" s="33"/>
      <c r="E11" s="33"/>
      <c r="F11" s="33"/>
      <c r="G11" s="33"/>
      <c r="H11" s="33"/>
      <c r="I11" s="33"/>
      <c r="J11" s="33"/>
      <c r="K11" s="33"/>
      <c r="L11" s="33"/>
      <c r="M11" s="33"/>
      <c r="N11" s="33"/>
      <c r="O11" s="33"/>
      <c r="P11" s="33"/>
      <c r="Q11" s="33"/>
      <c r="R11" s="33"/>
      <c r="S11" s="34"/>
      <c r="T11" s="35"/>
    </row>
    <row r="12" spans="1:20" ht="16.5" thickBot="1" x14ac:dyDescent="0.3"/>
    <row r="13" spans="1:20" s="16" customFormat="1" ht="24.75" customHeight="1" x14ac:dyDescent="0.25">
      <c r="A13" s="218" t="s">
        <v>28</v>
      </c>
      <c r="B13" s="220" t="s">
        <v>66</v>
      </c>
      <c r="C13" s="222" t="s">
        <v>241</v>
      </c>
      <c r="D13" s="222"/>
      <c r="E13" s="222"/>
      <c r="F13" s="222"/>
      <c r="G13" s="222"/>
      <c r="H13" s="222"/>
      <c r="I13" s="222"/>
      <c r="J13" s="222"/>
      <c r="K13" s="222"/>
      <c r="L13" s="222"/>
      <c r="M13" s="222"/>
      <c r="N13" s="222"/>
      <c r="O13" s="222"/>
      <c r="P13" s="222"/>
      <c r="Q13" s="222"/>
      <c r="R13" s="222"/>
      <c r="S13" s="222"/>
      <c r="T13" s="223"/>
    </row>
    <row r="14" spans="1:20" s="16" customFormat="1" ht="47.25" x14ac:dyDescent="0.25">
      <c r="A14" s="219"/>
      <c r="B14" s="221"/>
      <c r="C14" s="21" t="s">
        <v>67</v>
      </c>
      <c r="D14" s="21" t="s">
        <v>68</v>
      </c>
      <c r="E14" s="21" t="s">
        <v>69</v>
      </c>
      <c r="F14" s="21" t="s">
        <v>70</v>
      </c>
      <c r="G14" s="21" t="s">
        <v>71</v>
      </c>
      <c r="H14" s="21" t="s">
        <v>72</v>
      </c>
      <c r="I14" s="21" t="s">
        <v>73</v>
      </c>
      <c r="J14" s="22" t="s">
        <v>97</v>
      </c>
      <c r="K14" s="22" t="s">
        <v>90</v>
      </c>
      <c r="L14" s="22" t="s">
        <v>91</v>
      </c>
      <c r="M14" s="22" t="s">
        <v>92</v>
      </c>
      <c r="N14" s="23" t="s">
        <v>93</v>
      </c>
      <c r="O14" s="23" t="s">
        <v>94</v>
      </c>
      <c r="P14" s="23" t="s">
        <v>95</v>
      </c>
      <c r="Q14" s="23" t="s">
        <v>80</v>
      </c>
      <c r="R14" s="25" t="s">
        <v>96</v>
      </c>
      <c r="S14" s="25" t="s">
        <v>110</v>
      </c>
      <c r="T14" s="26" t="s">
        <v>74</v>
      </c>
    </row>
    <row r="15" spans="1:20" s="16" customFormat="1" ht="24.75" customHeight="1" x14ac:dyDescent="0.25">
      <c r="A15" s="20">
        <v>1</v>
      </c>
      <c r="B15" s="23" t="s">
        <v>333</v>
      </c>
      <c r="C15" s="17">
        <v>1</v>
      </c>
      <c r="D15" s="23" t="s">
        <v>75</v>
      </c>
      <c r="E15" s="17">
        <v>1</v>
      </c>
      <c r="F15" s="17">
        <v>2</v>
      </c>
      <c r="G15" s="17" t="s">
        <v>75</v>
      </c>
      <c r="H15" s="17" t="s">
        <v>75</v>
      </c>
      <c r="I15" s="17" t="s">
        <v>75</v>
      </c>
      <c r="J15" s="17" t="s">
        <v>75</v>
      </c>
      <c r="K15" s="17" t="s">
        <v>75</v>
      </c>
      <c r="L15" s="17" t="s">
        <v>75</v>
      </c>
      <c r="M15" s="17" t="s">
        <v>75</v>
      </c>
      <c r="N15" s="17" t="s">
        <v>75</v>
      </c>
      <c r="O15" s="17" t="s">
        <v>75</v>
      </c>
      <c r="P15" s="17" t="s">
        <v>75</v>
      </c>
      <c r="Q15" s="17" t="s">
        <v>75</v>
      </c>
      <c r="R15" s="17" t="s">
        <v>75</v>
      </c>
      <c r="S15" s="17" t="s">
        <v>75</v>
      </c>
      <c r="T15" s="24" t="s">
        <v>75</v>
      </c>
    </row>
    <row r="16" spans="1:20" s="16" customFormat="1" ht="31.5" x14ac:dyDescent="0.25">
      <c r="A16" s="20">
        <v>2</v>
      </c>
      <c r="B16" s="22" t="s">
        <v>335</v>
      </c>
      <c r="C16" s="23" t="s">
        <v>75</v>
      </c>
      <c r="D16" s="23" t="s">
        <v>75</v>
      </c>
      <c r="E16" s="23" t="s">
        <v>75</v>
      </c>
      <c r="F16" s="17">
        <v>2</v>
      </c>
      <c r="G16" s="17" t="s">
        <v>75</v>
      </c>
      <c r="H16" s="17" t="s">
        <v>75</v>
      </c>
      <c r="I16" s="17" t="s">
        <v>75</v>
      </c>
      <c r="J16" s="17" t="s">
        <v>75</v>
      </c>
      <c r="K16" s="17" t="s">
        <v>75</v>
      </c>
      <c r="L16" s="17" t="s">
        <v>75</v>
      </c>
      <c r="M16" s="17" t="s">
        <v>75</v>
      </c>
      <c r="N16" s="17" t="s">
        <v>75</v>
      </c>
      <c r="O16" s="17" t="s">
        <v>75</v>
      </c>
      <c r="P16" s="17" t="s">
        <v>75</v>
      </c>
      <c r="Q16" s="17" t="s">
        <v>75</v>
      </c>
      <c r="R16" s="17" t="s">
        <v>75</v>
      </c>
      <c r="S16" s="17" t="s">
        <v>75</v>
      </c>
      <c r="T16" s="24" t="s">
        <v>75</v>
      </c>
    </row>
    <row r="17" spans="1:20" s="16" customFormat="1" ht="24" customHeight="1" x14ac:dyDescent="0.25">
      <c r="A17" s="20">
        <v>3</v>
      </c>
      <c r="B17" s="23" t="s">
        <v>351</v>
      </c>
      <c r="C17" s="17">
        <v>1</v>
      </c>
      <c r="D17" s="17" t="s">
        <v>75</v>
      </c>
      <c r="E17" s="17">
        <v>1</v>
      </c>
      <c r="F17" s="17">
        <v>2</v>
      </c>
      <c r="G17" s="17" t="s">
        <v>75</v>
      </c>
      <c r="H17" s="17" t="s">
        <v>75</v>
      </c>
      <c r="I17" s="17" t="s">
        <v>75</v>
      </c>
      <c r="J17" s="17" t="s">
        <v>75</v>
      </c>
      <c r="K17" s="17" t="s">
        <v>75</v>
      </c>
      <c r="L17" s="17" t="s">
        <v>75</v>
      </c>
      <c r="M17" s="17" t="s">
        <v>75</v>
      </c>
      <c r="N17" s="17" t="s">
        <v>75</v>
      </c>
      <c r="O17" s="17" t="s">
        <v>75</v>
      </c>
      <c r="P17" s="17" t="s">
        <v>75</v>
      </c>
      <c r="Q17" s="17" t="s">
        <v>75</v>
      </c>
      <c r="R17" s="17" t="s">
        <v>75</v>
      </c>
      <c r="S17" s="17" t="s">
        <v>75</v>
      </c>
      <c r="T17" s="24" t="s">
        <v>75</v>
      </c>
    </row>
    <row r="18" spans="1:20" s="16" customFormat="1" ht="24" customHeight="1" x14ac:dyDescent="0.25">
      <c r="A18" s="20">
        <v>4</v>
      </c>
      <c r="B18" s="23" t="s">
        <v>355</v>
      </c>
      <c r="C18" s="17" t="s">
        <v>75</v>
      </c>
      <c r="D18" s="17" t="s">
        <v>75</v>
      </c>
      <c r="E18" s="17" t="s">
        <v>75</v>
      </c>
      <c r="F18" s="17" t="s">
        <v>75</v>
      </c>
      <c r="G18" s="17" t="s">
        <v>75</v>
      </c>
      <c r="H18" s="17" t="s">
        <v>75</v>
      </c>
      <c r="I18" s="17" t="s">
        <v>75</v>
      </c>
      <c r="J18" s="17" t="s">
        <v>75</v>
      </c>
      <c r="K18" s="17"/>
      <c r="L18" s="17"/>
      <c r="M18" s="17"/>
      <c r="N18" s="17" t="s">
        <v>75</v>
      </c>
      <c r="O18" s="17" t="s">
        <v>75</v>
      </c>
      <c r="P18" s="17" t="s">
        <v>75</v>
      </c>
      <c r="Q18" s="17"/>
      <c r="R18" s="17" t="s">
        <v>75</v>
      </c>
      <c r="S18" s="17" t="s">
        <v>75</v>
      </c>
      <c r="T18" s="24" t="s">
        <v>75</v>
      </c>
    </row>
    <row r="19" spans="1:20" s="16" customFormat="1" ht="24" customHeight="1" x14ac:dyDescent="0.25">
      <c r="A19" s="27">
        <v>5</v>
      </c>
      <c r="B19" s="28" t="s">
        <v>327</v>
      </c>
      <c r="C19" s="29">
        <v>2</v>
      </c>
      <c r="D19" s="29">
        <v>1</v>
      </c>
      <c r="E19" s="29">
        <v>1</v>
      </c>
      <c r="F19" s="29">
        <v>2</v>
      </c>
      <c r="G19" s="17" t="s">
        <v>75</v>
      </c>
      <c r="H19" s="17" t="s">
        <v>75</v>
      </c>
      <c r="I19" s="17" t="s">
        <v>75</v>
      </c>
      <c r="J19" s="17" t="s">
        <v>75</v>
      </c>
      <c r="K19" s="29">
        <v>2</v>
      </c>
      <c r="L19" s="29">
        <v>2</v>
      </c>
      <c r="M19" s="29">
        <v>2</v>
      </c>
      <c r="N19" s="17" t="s">
        <v>75</v>
      </c>
      <c r="O19" s="17" t="s">
        <v>75</v>
      </c>
      <c r="P19" s="17" t="s">
        <v>75</v>
      </c>
      <c r="Q19" s="29">
        <v>1</v>
      </c>
      <c r="R19" s="17" t="s">
        <v>75</v>
      </c>
      <c r="S19" s="17" t="s">
        <v>75</v>
      </c>
      <c r="T19" s="24" t="s">
        <v>75</v>
      </c>
    </row>
    <row r="20" spans="1:20" s="16" customFormat="1" ht="24" customHeight="1" x14ac:dyDescent="0.25">
      <c r="A20" s="20">
        <v>6</v>
      </c>
      <c r="B20" s="17" t="s">
        <v>76</v>
      </c>
      <c r="C20" s="17">
        <v>2</v>
      </c>
      <c r="D20" s="17" t="s">
        <v>75</v>
      </c>
      <c r="E20" s="17">
        <v>2</v>
      </c>
      <c r="F20" s="17">
        <v>2</v>
      </c>
      <c r="G20" s="17" t="s">
        <v>75</v>
      </c>
      <c r="H20" s="17" t="s">
        <v>75</v>
      </c>
      <c r="I20" s="17" t="s">
        <v>75</v>
      </c>
      <c r="J20" s="17" t="s">
        <v>75</v>
      </c>
      <c r="K20" s="17">
        <v>2</v>
      </c>
      <c r="L20" s="17">
        <v>2</v>
      </c>
      <c r="M20" s="17">
        <v>2</v>
      </c>
      <c r="N20" s="17" t="s">
        <v>75</v>
      </c>
      <c r="O20" s="17" t="s">
        <v>75</v>
      </c>
      <c r="P20" s="17" t="s">
        <v>75</v>
      </c>
      <c r="Q20" s="17">
        <v>1</v>
      </c>
      <c r="R20" s="17" t="s">
        <v>75</v>
      </c>
      <c r="S20" s="17" t="s">
        <v>75</v>
      </c>
      <c r="T20" s="24">
        <v>1</v>
      </c>
    </row>
    <row r="21" spans="1:20" s="16" customFormat="1" ht="24" customHeight="1" thickBot="1" x14ac:dyDescent="0.3">
      <c r="A21" s="31">
        <v>7</v>
      </c>
      <c r="B21" s="32" t="s">
        <v>98</v>
      </c>
      <c r="C21" s="33"/>
      <c r="D21" s="33"/>
      <c r="E21" s="33"/>
      <c r="F21" s="33"/>
      <c r="G21" s="33"/>
      <c r="H21" s="33"/>
      <c r="I21" s="33"/>
      <c r="J21" s="33"/>
      <c r="K21" s="33"/>
      <c r="L21" s="33"/>
      <c r="M21" s="33"/>
      <c r="N21" s="33"/>
      <c r="O21" s="33"/>
      <c r="P21" s="33"/>
      <c r="Q21" s="33"/>
      <c r="R21" s="33"/>
      <c r="S21" s="34"/>
      <c r="T21" s="35"/>
    </row>
    <row r="22" spans="1:20" s="16" customFormat="1" ht="24" customHeight="1" thickBot="1" x14ac:dyDescent="0.3">
      <c r="B22" s="40"/>
    </row>
    <row r="23" spans="1:20" s="16" customFormat="1" ht="24.75" customHeight="1" x14ac:dyDescent="0.25">
      <c r="A23" s="218" t="s">
        <v>28</v>
      </c>
      <c r="B23" s="220" t="s">
        <v>66</v>
      </c>
      <c r="C23" s="222" t="s">
        <v>242</v>
      </c>
      <c r="D23" s="222"/>
      <c r="E23" s="222"/>
      <c r="F23" s="222"/>
      <c r="G23" s="222"/>
      <c r="H23" s="222"/>
      <c r="I23" s="222"/>
      <c r="J23" s="222"/>
      <c r="K23" s="222"/>
      <c r="L23" s="222"/>
      <c r="M23" s="222"/>
      <c r="N23" s="222"/>
      <c r="O23" s="222"/>
      <c r="P23" s="222"/>
      <c r="Q23" s="222"/>
      <c r="R23" s="222"/>
      <c r="S23" s="222"/>
      <c r="T23" s="223"/>
    </row>
    <row r="24" spans="1:20" s="16" customFormat="1" ht="47.25" x14ac:dyDescent="0.25">
      <c r="A24" s="219"/>
      <c r="B24" s="221"/>
      <c r="C24" s="21" t="s">
        <v>67</v>
      </c>
      <c r="D24" s="21" t="s">
        <v>68</v>
      </c>
      <c r="E24" s="21" t="s">
        <v>69</v>
      </c>
      <c r="F24" s="21" t="s">
        <v>70</v>
      </c>
      <c r="G24" s="21" t="s">
        <v>71</v>
      </c>
      <c r="H24" s="21" t="s">
        <v>72</v>
      </c>
      <c r="I24" s="21" t="s">
        <v>73</v>
      </c>
      <c r="J24" s="22" t="s">
        <v>97</v>
      </c>
      <c r="K24" s="22" t="s">
        <v>90</v>
      </c>
      <c r="L24" s="22" t="s">
        <v>91</v>
      </c>
      <c r="M24" s="22" t="s">
        <v>92</v>
      </c>
      <c r="N24" s="23" t="s">
        <v>93</v>
      </c>
      <c r="O24" s="23" t="s">
        <v>94</v>
      </c>
      <c r="P24" s="23" t="s">
        <v>95</v>
      </c>
      <c r="Q24" s="23" t="s">
        <v>80</v>
      </c>
      <c r="R24" s="25" t="s">
        <v>96</v>
      </c>
      <c r="S24" s="25" t="s">
        <v>110</v>
      </c>
      <c r="T24" s="26" t="s">
        <v>74</v>
      </c>
    </row>
    <row r="25" spans="1:20" s="16" customFormat="1" ht="24.75" customHeight="1" x14ac:dyDescent="0.25">
      <c r="A25" s="20">
        <v>1</v>
      </c>
      <c r="B25" s="23" t="s">
        <v>333</v>
      </c>
      <c r="C25" s="17">
        <v>1</v>
      </c>
      <c r="D25" s="17">
        <v>1</v>
      </c>
      <c r="E25" s="17">
        <v>1</v>
      </c>
      <c r="F25" s="17">
        <v>2</v>
      </c>
      <c r="G25" s="17">
        <v>1</v>
      </c>
      <c r="H25" s="17">
        <v>1</v>
      </c>
      <c r="I25" s="17">
        <v>1</v>
      </c>
      <c r="J25" s="17"/>
      <c r="K25" s="17"/>
      <c r="L25" s="17"/>
      <c r="M25" s="17"/>
      <c r="N25" s="17"/>
      <c r="O25" s="17"/>
      <c r="P25" s="17"/>
      <c r="Q25" s="17"/>
      <c r="R25" s="17"/>
      <c r="S25" s="18"/>
      <c r="T25" s="24"/>
    </row>
    <row r="26" spans="1:20" s="16" customFormat="1" ht="31.5" x14ac:dyDescent="0.25">
      <c r="A26" s="20">
        <v>2</v>
      </c>
      <c r="B26" s="22" t="s">
        <v>335</v>
      </c>
      <c r="C26" s="17">
        <v>1</v>
      </c>
      <c r="D26" s="17">
        <v>1</v>
      </c>
      <c r="E26" s="17">
        <v>1</v>
      </c>
      <c r="F26" s="17">
        <v>2</v>
      </c>
      <c r="G26" s="17"/>
      <c r="H26" s="17"/>
      <c r="I26" s="17"/>
      <c r="J26" s="17"/>
      <c r="K26" s="17"/>
      <c r="L26" s="17"/>
      <c r="M26" s="17"/>
      <c r="N26" s="17"/>
      <c r="O26" s="17"/>
      <c r="P26" s="17"/>
      <c r="Q26" s="17"/>
      <c r="R26" s="17"/>
      <c r="S26" s="18"/>
      <c r="T26" s="24"/>
    </row>
    <row r="27" spans="1:20" s="16" customFormat="1" ht="24" customHeight="1" x14ac:dyDescent="0.25">
      <c r="A27" s="20">
        <v>3</v>
      </c>
      <c r="B27" s="23" t="s">
        <v>353</v>
      </c>
      <c r="C27" s="17">
        <v>1</v>
      </c>
      <c r="D27" s="17" t="s">
        <v>75</v>
      </c>
      <c r="E27" s="17">
        <v>1</v>
      </c>
      <c r="F27" s="17">
        <v>2</v>
      </c>
      <c r="G27" s="17">
        <v>1</v>
      </c>
      <c r="H27" s="17">
        <v>1</v>
      </c>
      <c r="I27" s="17">
        <v>1</v>
      </c>
      <c r="J27" s="17">
        <v>1</v>
      </c>
      <c r="K27" s="17"/>
      <c r="L27" s="17"/>
      <c r="M27" s="17"/>
      <c r="N27" s="17"/>
      <c r="O27" s="17"/>
      <c r="P27" s="17"/>
      <c r="Q27" s="17"/>
      <c r="R27" s="17"/>
      <c r="S27" s="18"/>
      <c r="T27" s="24"/>
    </row>
    <row r="28" spans="1:20" s="16" customFormat="1" ht="24" customHeight="1" x14ac:dyDescent="0.25">
      <c r="A28" s="20">
        <v>4</v>
      </c>
      <c r="B28" s="23" t="s">
        <v>355</v>
      </c>
      <c r="C28" s="17">
        <v>2</v>
      </c>
      <c r="D28" s="17" t="s">
        <v>75</v>
      </c>
      <c r="E28" s="17">
        <v>1</v>
      </c>
      <c r="F28" s="17">
        <v>2</v>
      </c>
      <c r="G28" s="17" t="s">
        <v>75</v>
      </c>
      <c r="H28" s="17" t="s">
        <v>75</v>
      </c>
      <c r="I28" s="17">
        <v>1</v>
      </c>
      <c r="J28" s="17" t="s">
        <v>75</v>
      </c>
      <c r="K28" s="17"/>
      <c r="L28" s="17"/>
      <c r="M28" s="17"/>
      <c r="N28" s="17"/>
      <c r="O28" s="17"/>
      <c r="P28" s="17"/>
      <c r="Q28" s="17"/>
      <c r="R28" s="17"/>
      <c r="S28" s="18"/>
      <c r="T28" s="24"/>
    </row>
    <row r="29" spans="1:20" s="16" customFormat="1" ht="24" customHeight="1" x14ac:dyDescent="0.25">
      <c r="A29" s="27">
        <v>5</v>
      </c>
      <c r="B29" s="28" t="s">
        <v>327</v>
      </c>
      <c r="C29" s="29">
        <v>2</v>
      </c>
      <c r="D29" s="29">
        <v>1</v>
      </c>
      <c r="E29" s="29">
        <v>1</v>
      </c>
      <c r="F29" s="29">
        <v>2</v>
      </c>
      <c r="G29" s="29">
        <v>1</v>
      </c>
      <c r="H29" s="29">
        <v>1</v>
      </c>
      <c r="I29" s="29">
        <v>1</v>
      </c>
      <c r="J29" s="29"/>
      <c r="K29" s="29">
        <v>2</v>
      </c>
      <c r="L29" s="29">
        <v>2</v>
      </c>
      <c r="M29" s="29">
        <v>2</v>
      </c>
      <c r="N29" s="29">
        <v>1</v>
      </c>
      <c r="O29" s="29">
        <v>1</v>
      </c>
      <c r="P29" s="29">
        <v>1</v>
      </c>
      <c r="Q29" s="29">
        <v>1</v>
      </c>
      <c r="R29" s="29"/>
      <c r="S29" s="30"/>
      <c r="T29" s="24"/>
    </row>
    <row r="30" spans="1:20" s="16" customFormat="1" ht="24" customHeight="1" x14ac:dyDescent="0.25">
      <c r="A30" s="20">
        <v>6</v>
      </c>
      <c r="B30" s="17" t="s">
        <v>76</v>
      </c>
      <c r="C30" s="17">
        <v>2</v>
      </c>
      <c r="D30" s="17" t="s">
        <v>75</v>
      </c>
      <c r="E30" s="17">
        <v>2</v>
      </c>
      <c r="F30" s="17">
        <v>2</v>
      </c>
      <c r="G30" s="17">
        <v>1</v>
      </c>
      <c r="H30" s="17">
        <v>1</v>
      </c>
      <c r="I30" s="17">
        <v>1</v>
      </c>
      <c r="J30" s="17">
        <v>1</v>
      </c>
      <c r="K30" s="17">
        <v>2</v>
      </c>
      <c r="L30" s="17">
        <v>2</v>
      </c>
      <c r="M30" s="17">
        <v>2</v>
      </c>
      <c r="N30" s="17">
        <v>1</v>
      </c>
      <c r="O30" s="17">
        <v>1</v>
      </c>
      <c r="P30" s="17">
        <v>1</v>
      </c>
      <c r="Q30" s="17">
        <v>1</v>
      </c>
      <c r="R30" s="17">
        <v>1</v>
      </c>
      <c r="S30" s="18">
        <v>1</v>
      </c>
      <c r="T30" s="24">
        <v>1</v>
      </c>
    </row>
    <row r="31" spans="1:20" s="16" customFormat="1" ht="24" customHeight="1" thickBot="1" x14ac:dyDescent="0.3">
      <c r="A31" s="31">
        <v>7</v>
      </c>
      <c r="B31" s="32" t="s">
        <v>98</v>
      </c>
      <c r="C31" s="33"/>
      <c r="D31" s="33"/>
      <c r="E31" s="33"/>
      <c r="F31" s="33"/>
      <c r="G31" s="33"/>
      <c r="H31" s="33"/>
      <c r="I31" s="33"/>
      <c r="J31" s="33"/>
      <c r="K31" s="33"/>
      <c r="L31" s="33"/>
      <c r="M31" s="33"/>
      <c r="N31" s="33"/>
      <c r="O31" s="33"/>
      <c r="P31" s="33"/>
      <c r="Q31" s="33"/>
      <c r="R31" s="33"/>
      <c r="S31" s="34"/>
      <c r="T31" s="35"/>
    </row>
    <row r="32" spans="1:20" s="16" customFormat="1" ht="24" customHeight="1" thickBot="1" x14ac:dyDescent="0.3">
      <c r="B32" s="40"/>
    </row>
    <row r="33" spans="1:20" s="16" customFormat="1" ht="33" customHeight="1" x14ac:dyDescent="0.25">
      <c r="A33" s="218" t="s">
        <v>28</v>
      </c>
      <c r="B33" s="220" t="s">
        <v>66</v>
      </c>
      <c r="C33" s="222" t="s">
        <v>243</v>
      </c>
      <c r="D33" s="222"/>
      <c r="E33" s="222"/>
      <c r="F33" s="222"/>
      <c r="G33" s="222"/>
      <c r="H33" s="222"/>
      <c r="I33" s="222"/>
      <c r="J33" s="222"/>
      <c r="K33" s="222"/>
      <c r="L33" s="222"/>
      <c r="M33" s="222"/>
      <c r="N33" s="222"/>
      <c r="O33" s="222"/>
      <c r="P33" s="222"/>
      <c r="Q33" s="222"/>
      <c r="R33" s="222"/>
      <c r="S33" s="222"/>
      <c r="T33" s="223"/>
    </row>
    <row r="34" spans="1:20" s="16" customFormat="1" ht="51" customHeight="1" x14ac:dyDescent="0.25">
      <c r="A34" s="219"/>
      <c r="B34" s="221"/>
      <c r="C34" s="21" t="s">
        <v>67</v>
      </c>
      <c r="D34" s="21" t="s">
        <v>68</v>
      </c>
      <c r="E34" s="21" t="s">
        <v>69</v>
      </c>
      <c r="F34" s="21" t="s">
        <v>70</v>
      </c>
      <c r="G34" s="21" t="s">
        <v>71</v>
      </c>
      <c r="H34" s="21" t="s">
        <v>72</v>
      </c>
      <c r="I34" s="21" t="s">
        <v>73</v>
      </c>
      <c r="J34" s="22" t="s">
        <v>97</v>
      </c>
      <c r="K34" s="22" t="s">
        <v>90</v>
      </c>
      <c r="L34" s="22" t="s">
        <v>91</v>
      </c>
      <c r="M34" s="22" t="s">
        <v>92</v>
      </c>
      <c r="N34" s="23" t="s">
        <v>93</v>
      </c>
      <c r="O34" s="23" t="s">
        <v>94</v>
      </c>
      <c r="P34" s="23" t="s">
        <v>95</v>
      </c>
      <c r="Q34" s="23" t="s">
        <v>80</v>
      </c>
      <c r="R34" s="25" t="s">
        <v>96</v>
      </c>
      <c r="S34" s="25" t="s">
        <v>110</v>
      </c>
      <c r="T34" s="26" t="s">
        <v>74</v>
      </c>
    </row>
    <row r="35" spans="1:20" s="16" customFormat="1" ht="28.5" customHeight="1" x14ac:dyDescent="0.25">
      <c r="A35" s="20">
        <v>1</v>
      </c>
      <c r="B35" s="23" t="s">
        <v>333</v>
      </c>
      <c r="C35" s="17">
        <v>1</v>
      </c>
      <c r="D35" s="17"/>
      <c r="E35" s="17">
        <v>1</v>
      </c>
      <c r="F35" s="17">
        <v>2</v>
      </c>
      <c r="G35" s="17"/>
      <c r="H35" s="17"/>
      <c r="I35" s="17"/>
      <c r="J35" s="17">
        <v>1</v>
      </c>
      <c r="K35" s="17"/>
      <c r="L35" s="17"/>
      <c r="M35" s="17"/>
      <c r="N35" s="17"/>
      <c r="O35" s="17"/>
      <c r="P35" s="17"/>
      <c r="Q35" s="17"/>
      <c r="R35" s="17"/>
      <c r="S35" s="18"/>
      <c r="T35" s="24"/>
    </row>
    <row r="36" spans="1:20" s="16" customFormat="1" ht="31.5" x14ac:dyDescent="0.25">
      <c r="A36" s="20">
        <v>2</v>
      </c>
      <c r="B36" s="22" t="s">
        <v>335</v>
      </c>
      <c r="C36" s="17" t="s">
        <v>75</v>
      </c>
      <c r="D36" s="17" t="s">
        <v>75</v>
      </c>
      <c r="E36" s="17" t="s">
        <v>75</v>
      </c>
      <c r="F36" s="17">
        <v>2</v>
      </c>
      <c r="G36" s="17">
        <v>1</v>
      </c>
      <c r="H36" s="17">
        <v>1</v>
      </c>
      <c r="I36" s="17">
        <v>1</v>
      </c>
      <c r="J36" s="17">
        <v>1</v>
      </c>
      <c r="K36" s="17"/>
      <c r="L36" s="17"/>
      <c r="M36" s="17"/>
      <c r="N36" s="17"/>
      <c r="O36" s="17"/>
      <c r="P36" s="17"/>
      <c r="Q36" s="17"/>
      <c r="R36" s="17"/>
      <c r="S36" s="18"/>
      <c r="T36" s="24"/>
    </row>
    <row r="37" spans="1:20" s="16" customFormat="1" ht="24" customHeight="1" x14ac:dyDescent="0.25">
      <c r="A37" s="20">
        <v>3</v>
      </c>
      <c r="B37" s="23" t="s">
        <v>351</v>
      </c>
      <c r="C37" s="17">
        <v>1</v>
      </c>
      <c r="D37" s="17" t="s">
        <v>75</v>
      </c>
      <c r="E37" s="17">
        <v>1</v>
      </c>
      <c r="F37" s="17">
        <v>2</v>
      </c>
      <c r="G37" s="17">
        <v>1</v>
      </c>
      <c r="H37" s="17">
        <v>1</v>
      </c>
      <c r="I37" s="17">
        <v>1</v>
      </c>
      <c r="J37" s="17">
        <v>1</v>
      </c>
      <c r="K37" s="17"/>
      <c r="L37" s="17"/>
      <c r="M37" s="17"/>
      <c r="N37" s="17"/>
      <c r="O37" s="17"/>
      <c r="P37" s="17"/>
      <c r="Q37" s="17"/>
      <c r="R37" s="17"/>
      <c r="S37" s="18"/>
      <c r="T37" s="24"/>
    </row>
    <row r="38" spans="1:20" s="16" customFormat="1" ht="24" customHeight="1" x14ac:dyDescent="0.25">
      <c r="A38" s="20">
        <v>4</v>
      </c>
      <c r="B38" s="17" t="s">
        <v>77</v>
      </c>
      <c r="C38" s="17"/>
      <c r="D38" s="17"/>
      <c r="E38" s="17"/>
      <c r="F38" s="17"/>
      <c r="G38" s="17">
        <v>1</v>
      </c>
      <c r="H38" s="17">
        <v>1</v>
      </c>
      <c r="I38" s="17"/>
      <c r="J38" s="17">
        <v>1</v>
      </c>
      <c r="K38" s="17"/>
      <c r="L38" s="17"/>
      <c r="M38" s="17"/>
      <c r="N38" s="17"/>
      <c r="O38" s="17"/>
      <c r="P38" s="17"/>
      <c r="Q38" s="17"/>
      <c r="R38" s="17"/>
      <c r="S38" s="18"/>
      <c r="T38" s="24"/>
    </row>
    <row r="39" spans="1:20" s="16" customFormat="1" ht="24" customHeight="1" x14ac:dyDescent="0.25">
      <c r="A39" s="27">
        <v>5</v>
      </c>
      <c r="B39" s="28" t="s">
        <v>327</v>
      </c>
      <c r="C39" s="29">
        <v>1</v>
      </c>
      <c r="D39" s="29">
        <v>1</v>
      </c>
      <c r="E39" s="29">
        <v>1</v>
      </c>
      <c r="F39" s="29">
        <v>2</v>
      </c>
      <c r="G39" s="17" t="s">
        <v>75</v>
      </c>
      <c r="H39" s="17" t="s">
        <v>75</v>
      </c>
      <c r="I39" s="17" t="s">
        <v>75</v>
      </c>
      <c r="J39" s="17">
        <v>1</v>
      </c>
      <c r="K39" s="29">
        <v>2</v>
      </c>
      <c r="L39" s="29">
        <v>2</v>
      </c>
      <c r="M39" s="29">
        <v>2</v>
      </c>
      <c r="N39" s="17" t="s">
        <v>75</v>
      </c>
      <c r="O39" s="17" t="s">
        <v>75</v>
      </c>
      <c r="P39" s="17" t="s">
        <v>75</v>
      </c>
      <c r="Q39" s="29">
        <v>1</v>
      </c>
      <c r="R39" s="17" t="s">
        <v>75</v>
      </c>
      <c r="S39" s="17" t="s">
        <v>75</v>
      </c>
      <c r="T39" s="24" t="s">
        <v>75</v>
      </c>
    </row>
    <row r="40" spans="1:20" s="16" customFormat="1" ht="24" customHeight="1" x14ac:dyDescent="0.25">
      <c r="A40" s="20">
        <v>6</v>
      </c>
      <c r="B40" s="17" t="s">
        <v>76</v>
      </c>
      <c r="C40" s="17">
        <v>2</v>
      </c>
      <c r="D40" s="17" t="s">
        <v>75</v>
      </c>
      <c r="E40" s="17">
        <v>2</v>
      </c>
      <c r="F40" s="17">
        <v>2</v>
      </c>
      <c r="G40" s="17" t="s">
        <v>75</v>
      </c>
      <c r="H40" s="17" t="s">
        <v>75</v>
      </c>
      <c r="I40" s="17" t="s">
        <v>75</v>
      </c>
      <c r="J40" s="17" t="s">
        <v>75</v>
      </c>
      <c r="K40" s="17">
        <v>2</v>
      </c>
      <c r="L40" s="17">
        <v>2</v>
      </c>
      <c r="M40" s="17">
        <v>2</v>
      </c>
      <c r="N40" s="17" t="s">
        <v>75</v>
      </c>
      <c r="O40" s="17" t="s">
        <v>75</v>
      </c>
      <c r="P40" s="17" t="s">
        <v>75</v>
      </c>
      <c r="Q40" s="17">
        <v>1</v>
      </c>
      <c r="R40" s="17" t="s">
        <v>75</v>
      </c>
      <c r="S40" s="17" t="s">
        <v>75</v>
      </c>
      <c r="T40" s="24">
        <v>1</v>
      </c>
    </row>
    <row r="41" spans="1:20" s="16" customFormat="1" ht="24" customHeight="1" thickBot="1" x14ac:dyDescent="0.3">
      <c r="A41" s="31">
        <v>7</v>
      </c>
      <c r="B41" s="32" t="s">
        <v>98</v>
      </c>
      <c r="C41" s="33"/>
      <c r="D41" s="33"/>
      <c r="E41" s="33"/>
      <c r="F41" s="33"/>
      <c r="G41" s="33"/>
      <c r="H41" s="33"/>
      <c r="I41" s="33"/>
      <c r="J41" s="33"/>
      <c r="K41" s="33"/>
      <c r="L41" s="33"/>
      <c r="M41" s="33"/>
      <c r="N41" s="33"/>
      <c r="O41" s="33"/>
      <c r="P41" s="33"/>
      <c r="Q41" s="33"/>
      <c r="R41" s="33"/>
      <c r="S41" s="34"/>
      <c r="T41" s="35"/>
    </row>
    <row r="42" spans="1:20" s="16" customFormat="1" ht="24" customHeight="1" thickBot="1" x14ac:dyDescent="0.3">
      <c r="B42" s="40"/>
    </row>
    <row r="43" spans="1:20" s="16" customFormat="1" ht="24.75" customHeight="1" x14ac:dyDescent="0.25">
      <c r="A43" s="218" t="s">
        <v>28</v>
      </c>
      <c r="B43" s="220" t="s">
        <v>66</v>
      </c>
      <c r="C43" s="222" t="s">
        <v>244</v>
      </c>
      <c r="D43" s="222"/>
      <c r="E43" s="222"/>
      <c r="F43" s="222"/>
      <c r="G43" s="222"/>
      <c r="H43" s="222"/>
      <c r="I43" s="222"/>
      <c r="J43" s="222"/>
      <c r="K43" s="222"/>
      <c r="L43" s="222"/>
      <c r="M43" s="222"/>
      <c r="N43" s="222"/>
      <c r="O43" s="222"/>
      <c r="P43" s="222"/>
      <c r="Q43" s="222"/>
      <c r="R43" s="222"/>
      <c r="S43" s="222"/>
      <c r="T43" s="223"/>
    </row>
    <row r="44" spans="1:20" s="16" customFormat="1" ht="47.25" x14ac:dyDescent="0.25">
      <c r="A44" s="219"/>
      <c r="B44" s="221"/>
      <c r="C44" s="21" t="s">
        <v>67</v>
      </c>
      <c r="D44" s="21" t="s">
        <v>68</v>
      </c>
      <c r="E44" s="21" t="s">
        <v>69</v>
      </c>
      <c r="F44" s="21" t="s">
        <v>70</v>
      </c>
      <c r="G44" s="21" t="s">
        <v>71</v>
      </c>
      <c r="H44" s="21" t="s">
        <v>72</v>
      </c>
      <c r="I44" s="21" t="s">
        <v>73</v>
      </c>
      <c r="J44" s="22" t="s">
        <v>97</v>
      </c>
      <c r="K44" s="22" t="s">
        <v>90</v>
      </c>
      <c r="L44" s="22" t="s">
        <v>91</v>
      </c>
      <c r="M44" s="22" t="s">
        <v>92</v>
      </c>
      <c r="N44" s="23" t="s">
        <v>93</v>
      </c>
      <c r="O44" s="23" t="s">
        <v>94</v>
      </c>
      <c r="P44" s="23" t="s">
        <v>95</v>
      </c>
      <c r="Q44" s="23" t="s">
        <v>80</v>
      </c>
      <c r="R44" s="25" t="s">
        <v>96</v>
      </c>
      <c r="S44" s="25" t="s">
        <v>110</v>
      </c>
      <c r="T44" s="26" t="s">
        <v>74</v>
      </c>
    </row>
    <row r="45" spans="1:20" s="16" customFormat="1" ht="24.75" customHeight="1" x14ac:dyDescent="0.25">
      <c r="A45" s="20">
        <v>1</v>
      </c>
      <c r="B45" s="23" t="s">
        <v>333</v>
      </c>
      <c r="C45" s="17">
        <v>1</v>
      </c>
      <c r="D45" s="17">
        <v>1</v>
      </c>
      <c r="E45" s="17">
        <v>1</v>
      </c>
      <c r="F45" s="17">
        <v>2</v>
      </c>
      <c r="G45" s="17">
        <v>1</v>
      </c>
      <c r="H45" s="17">
        <v>1</v>
      </c>
      <c r="I45" s="17">
        <v>1</v>
      </c>
      <c r="J45" s="17"/>
      <c r="K45" s="17"/>
      <c r="L45" s="17"/>
      <c r="M45" s="17"/>
      <c r="N45" s="17"/>
      <c r="O45" s="17"/>
      <c r="P45" s="17"/>
      <c r="Q45" s="17"/>
      <c r="R45" s="17"/>
      <c r="S45" s="18"/>
      <c r="T45" s="24"/>
    </row>
    <row r="46" spans="1:20" s="16" customFormat="1" ht="31.5" x14ac:dyDescent="0.25">
      <c r="A46" s="20">
        <v>2</v>
      </c>
      <c r="B46" s="22" t="s">
        <v>335</v>
      </c>
      <c r="C46" s="17">
        <v>1</v>
      </c>
      <c r="D46" s="17">
        <v>1</v>
      </c>
      <c r="E46" s="17">
        <v>1</v>
      </c>
      <c r="F46" s="17">
        <v>2</v>
      </c>
      <c r="G46" s="17"/>
      <c r="H46" s="17"/>
      <c r="I46" s="17"/>
      <c r="J46" s="17"/>
      <c r="K46" s="17"/>
      <c r="L46" s="17"/>
      <c r="M46" s="17"/>
      <c r="N46" s="17"/>
      <c r="O46" s="17"/>
      <c r="P46" s="17"/>
      <c r="Q46" s="17"/>
      <c r="R46" s="17"/>
      <c r="S46" s="18"/>
      <c r="T46" s="24"/>
    </row>
    <row r="47" spans="1:20" s="16" customFormat="1" ht="24" customHeight="1" x14ac:dyDescent="0.25">
      <c r="A47" s="20">
        <v>3</v>
      </c>
      <c r="B47" s="23" t="s">
        <v>353</v>
      </c>
      <c r="C47" s="17">
        <v>1</v>
      </c>
      <c r="D47" s="17" t="s">
        <v>75</v>
      </c>
      <c r="E47" s="17">
        <v>1</v>
      </c>
      <c r="F47" s="17">
        <v>2</v>
      </c>
      <c r="G47" s="17">
        <v>1</v>
      </c>
      <c r="H47" s="17">
        <v>1</v>
      </c>
      <c r="I47" s="17">
        <v>1</v>
      </c>
      <c r="J47" s="17">
        <v>1</v>
      </c>
      <c r="K47" s="17"/>
      <c r="L47" s="17"/>
      <c r="M47" s="17"/>
      <c r="N47" s="17"/>
      <c r="O47" s="17"/>
      <c r="P47" s="17"/>
      <c r="Q47" s="17"/>
      <c r="R47" s="17"/>
      <c r="S47" s="18"/>
      <c r="T47" s="24"/>
    </row>
    <row r="48" spans="1:20" s="16" customFormat="1" ht="24" customHeight="1" x14ac:dyDescent="0.25">
      <c r="A48" s="20">
        <v>4</v>
      </c>
      <c r="B48" s="23" t="s">
        <v>355</v>
      </c>
      <c r="C48" s="17">
        <v>2</v>
      </c>
      <c r="D48" s="17" t="s">
        <v>75</v>
      </c>
      <c r="E48" s="17">
        <v>1</v>
      </c>
      <c r="F48" s="17">
        <v>2</v>
      </c>
      <c r="G48" s="17" t="s">
        <v>75</v>
      </c>
      <c r="H48" s="17" t="s">
        <v>75</v>
      </c>
      <c r="I48" s="17">
        <v>1</v>
      </c>
      <c r="J48" s="17" t="s">
        <v>75</v>
      </c>
      <c r="K48" s="17"/>
      <c r="L48" s="17"/>
      <c r="M48" s="17"/>
      <c r="N48" s="17"/>
      <c r="O48" s="17"/>
      <c r="P48" s="17"/>
      <c r="Q48" s="17"/>
      <c r="R48" s="17"/>
      <c r="S48" s="18"/>
      <c r="T48" s="24"/>
    </row>
    <row r="49" spans="1:20" s="16" customFormat="1" ht="24" customHeight="1" x14ac:dyDescent="0.25">
      <c r="A49" s="27">
        <v>5</v>
      </c>
      <c r="B49" s="28" t="s">
        <v>327</v>
      </c>
      <c r="C49" s="29">
        <v>1</v>
      </c>
      <c r="D49" s="29">
        <v>1</v>
      </c>
      <c r="E49" s="29">
        <v>1</v>
      </c>
      <c r="F49" s="29">
        <v>2</v>
      </c>
      <c r="G49" s="29">
        <v>1</v>
      </c>
      <c r="H49" s="29">
        <v>1</v>
      </c>
      <c r="I49" s="29">
        <v>1</v>
      </c>
      <c r="J49" s="29"/>
      <c r="K49" s="29">
        <v>2</v>
      </c>
      <c r="L49" s="29">
        <v>2</v>
      </c>
      <c r="M49" s="29">
        <v>2</v>
      </c>
      <c r="N49" s="29">
        <v>1</v>
      </c>
      <c r="O49" s="29">
        <v>1</v>
      </c>
      <c r="P49" s="29">
        <v>1</v>
      </c>
      <c r="Q49" s="29">
        <v>1</v>
      </c>
      <c r="R49" s="17">
        <v>1</v>
      </c>
      <c r="S49" s="18">
        <v>1</v>
      </c>
      <c r="T49" s="24"/>
    </row>
    <row r="50" spans="1:20" s="16" customFormat="1" ht="24" customHeight="1" x14ac:dyDescent="0.25">
      <c r="A50" s="20">
        <v>6</v>
      </c>
      <c r="B50" s="17" t="s">
        <v>76</v>
      </c>
      <c r="C50" s="17">
        <v>2</v>
      </c>
      <c r="D50" s="17" t="s">
        <v>75</v>
      </c>
      <c r="E50" s="17">
        <v>2</v>
      </c>
      <c r="F50" s="17">
        <v>2</v>
      </c>
      <c r="G50" s="17">
        <v>1</v>
      </c>
      <c r="H50" s="17">
        <v>1</v>
      </c>
      <c r="I50" s="17">
        <v>1</v>
      </c>
      <c r="J50" s="17">
        <v>1</v>
      </c>
      <c r="K50" s="17">
        <v>2</v>
      </c>
      <c r="L50" s="17">
        <v>2</v>
      </c>
      <c r="M50" s="17">
        <v>2</v>
      </c>
      <c r="N50" s="17">
        <v>1</v>
      </c>
      <c r="O50" s="17">
        <v>1</v>
      </c>
      <c r="P50" s="17">
        <v>1</v>
      </c>
      <c r="Q50" s="17">
        <v>1</v>
      </c>
      <c r="R50" s="17">
        <v>1</v>
      </c>
      <c r="S50" s="18">
        <v>1</v>
      </c>
      <c r="T50" s="24">
        <v>1</v>
      </c>
    </row>
    <row r="51" spans="1:20" s="16" customFormat="1" ht="24" customHeight="1" thickBot="1" x14ac:dyDescent="0.3">
      <c r="A51" s="31">
        <v>7</v>
      </c>
      <c r="B51" s="32" t="s">
        <v>98</v>
      </c>
      <c r="C51" s="33"/>
      <c r="D51" s="33"/>
      <c r="E51" s="33"/>
      <c r="F51" s="33"/>
      <c r="G51" s="33"/>
      <c r="H51" s="33"/>
      <c r="I51" s="33"/>
      <c r="J51" s="33"/>
      <c r="K51" s="33"/>
      <c r="L51" s="33"/>
      <c r="M51" s="33"/>
      <c r="N51" s="33"/>
      <c r="O51" s="33"/>
      <c r="P51" s="33"/>
      <c r="Q51" s="33"/>
      <c r="R51" s="33"/>
      <c r="S51" s="34"/>
      <c r="T51" s="35"/>
    </row>
    <row r="53" spans="1:20" x14ac:dyDescent="0.25">
      <c r="B53" s="225" t="s">
        <v>334</v>
      </c>
      <c r="C53" s="229" t="s">
        <v>87</v>
      </c>
      <c r="D53" s="229"/>
      <c r="E53" s="229"/>
      <c r="F53" s="229"/>
      <c r="G53" s="229"/>
      <c r="H53" s="229"/>
      <c r="I53" s="229"/>
      <c r="J53" s="229"/>
      <c r="K53" s="229"/>
      <c r="L53" s="229"/>
      <c r="M53" s="229"/>
      <c r="N53" s="229"/>
    </row>
    <row r="54" spans="1:20" x14ac:dyDescent="0.25">
      <c r="B54" s="225"/>
      <c r="C54" s="227" t="s">
        <v>88</v>
      </c>
      <c r="D54" s="224" t="s">
        <v>86</v>
      </c>
      <c r="E54" s="224"/>
      <c r="F54" s="224"/>
      <c r="G54" s="224"/>
      <c r="H54" s="224"/>
      <c r="I54" s="224"/>
      <c r="J54" s="224"/>
      <c r="K54" s="224"/>
      <c r="L54" s="224"/>
      <c r="M54" s="224"/>
      <c r="N54" s="224"/>
    </row>
    <row r="55" spans="1:20" x14ac:dyDescent="0.25">
      <c r="B55" s="225"/>
      <c r="C55" s="227"/>
      <c r="D55" s="224" t="s">
        <v>84</v>
      </c>
      <c r="E55" s="224"/>
      <c r="F55" s="224"/>
      <c r="G55" s="224"/>
      <c r="H55" s="224"/>
      <c r="I55" s="224"/>
      <c r="J55" s="224"/>
      <c r="K55" s="224"/>
      <c r="L55" s="224"/>
      <c r="M55" s="224"/>
      <c r="N55" s="224"/>
    </row>
    <row r="56" spans="1:20" x14ac:dyDescent="0.25">
      <c r="B56" s="225"/>
      <c r="C56" s="227"/>
      <c r="D56" s="224" t="s">
        <v>83</v>
      </c>
      <c r="E56" s="224"/>
      <c r="F56" s="224"/>
      <c r="G56" s="224"/>
      <c r="H56" s="224"/>
      <c r="I56" s="224"/>
      <c r="J56" s="224"/>
      <c r="K56" s="224"/>
      <c r="L56" s="224"/>
      <c r="M56" s="224"/>
      <c r="N56" s="224"/>
    </row>
    <row r="57" spans="1:20" x14ac:dyDescent="0.25">
      <c r="B57" s="226" t="s">
        <v>336</v>
      </c>
      <c r="C57" s="229" t="s">
        <v>87</v>
      </c>
      <c r="D57" s="229"/>
      <c r="E57" s="229"/>
      <c r="F57" s="229"/>
      <c r="G57" s="229"/>
      <c r="H57" s="229"/>
      <c r="I57" s="229"/>
      <c r="J57" s="229"/>
      <c r="K57" s="229"/>
      <c r="L57" s="229"/>
      <c r="M57" s="229"/>
      <c r="N57" s="229"/>
    </row>
    <row r="58" spans="1:20" x14ac:dyDescent="0.25">
      <c r="B58" s="225"/>
      <c r="C58" s="227" t="s">
        <v>88</v>
      </c>
      <c r="D58" s="224" t="s">
        <v>79</v>
      </c>
      <c r="E58" s="224"/>
      <c r="F58" s="224"/>
      <c r="G58" s="224"/>
      <c r="H58" s="224"/>
      <c r="I58" s="224"/>
      <c r="J58" s="224"/>
      <c r="K58" s="224"/>
      <c r="L58" s="224"/>
      <c r="M58" s="224"/>
      <c r="N58" s="224"/>
    </row>
    <row r="59" spans="1:20" x14ac:dyDescent="0.25">
      <c r="B59" s="225"/>
      <c r="C59" s="227"/>
      <c r="D59" s="224" t="s">
        <v>82</v>
      </c>
      <c r="E59" s="224"/>
      <c r="F59" s="224"/>
      <c r="G59" s="224"/>
      <c r="H59" s="224"/>
      <c r="I59" s="224"/>
      <c r="J59" s="224"/>
      <c r="K59" s="224"/>
      <c r="L59" s="224"/>
      <c r="M59" s="224"/>
      <c r="N59" s="224"/>
    </row>
    <row r="60" spans="1:20" x14ac:dyDescent="0.25">
      <c r="B60" s="225"/>
      <c r="C60" s="227"/>
      <c r="D60" s="224" t="s">
        <v>85</v>
      </c>
      <c r="E60" s="224"/>
      <c r="F60" s="224"/>
      <c r="G60" s="224"/>
      <c r="H60" s="224"/>
      <c r="I60" s="224"/>
      <c r="J60" s="224"/>
      <c r="K60" s="224"/>
      <c r="L60" s="224"/>
      <c r="M60" s="224"/>
      <c r="N60" s="224"/>
    </row>
    <row r="61" spans="1:20" x14ac:dyDescent="0.25">
      <c r="B61" s="225" t="s">
        <v>209</v>
      </c>
      <c r="C61" s="229" t="s">
        <v>87</v>
      </c>
      <c r="D61" s="229"/>
      <c r="E61" s="229"/>
      <c r="F61" s="229"/>
      <c r="G61" s="229"/>
      <c r="H61" s="229"/>
      <c r="I61" s="229"/>
      <c r="J61" s="229"/>
      <c r="K61" s="229"/>
      <c r="L61" s="229"/>
      <c r="M61" s="229"/>
      <c r="N61" s="229"/>
    </row>
    <row r="62" spans="1:20" x14ac:dyDescent="0.25">
      <c r="B62" s="225"/>
      <c r="C62" s="227" t="s">
        <v>88</v>
      </c>
      <c r="D62" s="230" t="s">
        <v>107</v>
      </c>
      <c r="E62" s="231"/>
      <c r="F62" s="231"/>
      <c r="G62" s="231"/>
      <c r="H62" s="231"/>
      <c r="I62" s="231"/>
      <c r="J62" s="231"/>
      <c r="K62" s="231"/>
      <c r="L62" s="231"/>
      <c r="M62" s="231"/>
      <c r="N62" s="232"/>
    </row>
    <row r="63" spans="1:20" ht="15.75" customHeight="1" x14ac:dyDescent="0.25">
      <c r="B63" s="225"/>
      <c r="C63" s="227"/>
      <c r="D63" s="224" t="s">
        <v>78</v>
      </c>
      <c r="E63" s="224"/>
      <c r="F63" s="224"/>
      <c r="G63" s="224"/>
      <c r="H63" s="224"/>
      <c r="I63" s="224"/>
      <c r="J63" s="224"/>
      <c r="K63" s="224"/>
      <c r="L63" s="224"/>
      <c r="M63" s="224"/>
      <c r="N63" s="224"/>
    </row>
    <row r="64" spans="1:20" x14ac:dyDescent="0.25">
      <c r="B64" s="225"/>
      <c r="C64" s="227"/>
      <c r="D64" s="224" t="s">
        <v>337</v>
      </c>
      <c r="E64" s="224"/>
      <c r="F64" s="224"/>
      <c r="G64" s="224"/>
      <c r="H64" s="224"/>
      <c r="I64" s="224"/>
      <c r="J64" s="224"/>
      <c r="K64" s="224"/>
      <c r="L64" s="224"/>
      <c r="M64" s="224"/>
      <c r="N64" s="224"/>
    </row>
    <row r="65" spans="2:15" x14ac:dyDescent="0.25">
      <c r="B65" s="226" t="s">
        <v>89</v>
      </c>
      <c r="C65" s="229" t="s">
        <v>87</v>
      </c>
      <c r="D65" s="229"/>
      <c r="E65" s="229"/>
      <c r="F65" s="229"/>
      <c r="G65" s="229"/>
      <c r="H65" s="229"/>
      <c r="I65" s="229"/>
      <c r="J65" s="229"/>
      <c r="K65" s="229"/>
      <c r="L65" s="229"/>
      <c r="M65" s="229"/>
      <c r="N65" s="229"/>
    </row>
    <row r="66" spans="2:15" ht="15.75" customHeight="1" x14ac:dyDescent="0.25">
      <c r="B66" s="225"/>
      <c r="C66" s="233" t="s">
        <v>88</v>
      </c>
      <c r="D66" s="224" t="s">
        <v>108</v>
      </c>
      <c r="E66" s="224"/>
      <c r="F66" s="224"/>
      <c r="G66" s="224"/>
      <c r="H66" s="224"/>
      <c r="I66" s="224"/>
      <c r="J66" s="224"/>
      <c r="K66" s="224"/>
      <c r="L66" s="224"/>
      <c r="M66" s="224"/>
      <c r="N66" s="224"/>
    </row>
    <row r="67" spans="2:15" x14ac:dyDescent="0.25">
      <c r="B67" s="225"/>
      <c r="C67" s="234"/>
      <c r="D67" s="224" t="s">
        <v>109</v>
      </c>
      <c r="E67" s="224"/>
      <c r="F67" s="224"/>
      <c r="G67" s="224"/>
      <c r="H67" s="224"/>
      <c r="I67" s="224"/>
      <c r="J67" s="224"/>
      <c r="K67" s="224"/>
      <c r="L67" s="224"/>
      <c r="M67" s="224"/>
      <c r="N67" s="224"/>
    </row>
    <row r="68" spans="2:15" ht="15.75" customHeight="1" x14ac:dyDescent="0.25">
      <c r="B68" s="226" t="s">
        <v>338</v>
      </c>
      <c r="C68" s="228" t="s">
        <v>99</v>
      </c>
      <c r="D68" s="228"/>
      <c r="E68" s="228"/>
      <c r="F68" s="228"/>
      <c r="G68" s="228"/>
      <c r="H68" s="228"/>
      <c r="I68" s="228"/>
      <c r="J68" s="228"/>
      <c r="K68" s="228"/>
      <c r="L68" s="228"/>
      <c r="M68" s="228"/>
      <c r="N68" s="228"/>
      <c r="O68" s="39"/>
    </row>
    <row r="69" spans="2:15" ht="15.75" customHeight="1" x14ac:dyDescent="0.25">
      <c r="B69" s="226"/>
      <c r="C69" s="227" t="s">
        <v>88</v>
      </c>
      <c r="D69" s="217" t="s">
        <v>104</v>
      </c>
      <c r="E69" s="217"/>
      <c r="F69" s="217"/>
      <c r="G69" s="217"/>
      <c r="H69" s="217"/>
      <c r="I69" s="217"/>
      <c r="J69" s="217"/>
      <c r="K69" s="217"/>
      <c r="L69" s="217"/>
      <c r="M69" s="217"/>
      <c r="N69" s="217"/>
      <c r="O69" s="38"/>
    </row>
    <row r="70" spans="2:15" x14ac:dyDescent="0.25">
      <c r="B70" s="226"/>
      <c r="C70" s="227"/>
      <c r="D70" s="217" t="s">
        <v>100</v>
      </c>
      <c r="E70" s="217"/>
      <c r="F70" s="217"/>
      <c r="G70" s="217"/>
      <c r="H70" s="217"/>
      <c r="I70" s="217"/>
      <c r="J70" s="217"/>
      <c r="K70" s="217"/>
      <c r="L70" s="217"/>
      <c r="M70" s="217"/>
      <c r="N70" s="217"/>
    </row>
    <row r="71" spans="2:15" x14ac:dyDescent="0.25">
      <c r="B71" s="226"/>
      <c r="C71" s="227"/>
      <c r="D71" s="217" t="s">
        <v>101</v>
      </c>
      <c r="E71" s="217"/>
      <c r="F71" s="217"/>
      <c r="G71" s="217"/>
      <c r="H71" s="217"/>
      <c r="I71" s="217"/>
      <c r="J71" s="217"/>
      <c r="K71" s="217"/>
      <c r="L71" s="217"/>
      <c r="M71" s="217"/>
      <c r="N71" s="217"/>
    </row>
    <row r="72" spans="2:15" x14ac:dyDescent="0.25">
      <c r="B72" s="226"/>
      <c r="C72" s="227"/>
      <c r="D72" s="217" t="s">
        <v>102</v>
      </c>
      <c r="E72" s="217"/>
      <c r="F72" s="217"/>
      <c r="G72" s="217"/>
      <c r="H72" s="217"/>
      <c r="I72" s="217"/>
      <c r="J72" s="217"/>
      <c r="K72" s="217"/>
      <c r="L72" s="217"/>
      <c r="M72" s="217"/>
      <c r="N72" s="217"/>
    </row>
    <row r="73" spans="2:15" ht="15.75" customHeight="1" x14ac:dyDescent="0.25">
      <c r="B73" s="226" t="s">
        <v>356</v>
      </c>
      <c r="C73" s="228" t="s">
        <v>103</v>
      </c>
      <c r="D73" s="228"/>
      <c r="E73" s="228"/>
      <c r="F73" s="228"/>
      <c r="G73" s="228"/>
      <c r="H73" s="228"/>
      <c r="I73" s="228"/>
      <c r="J73" s="228"/>
      <c r="K73" s="228"/>
      <c r="L73" s="228"/>
      <c r="M73" s="228"/>
      <c r="N73" s="228"/>
      <c r="O73" s="39"/>
    </row>
    <row r="74" spans="2:15" ht="15.75" customHeight="1" x14ac:dyDescent="0.25">
      <c r="B74" s="226"/>
      <c r="C74" s="227" t="s">
        <v>88</v>
      </c>
      <c r="D74" s="217" t="s">
        <v>105</v>
      </c>
      <c r="E74" s="217"/>
      <c r="F74" s="217"/>
      <c r="G74" s="217"/>
      <c r="H74" s="217"/>
      <c r="I74" s="217"/>
      <c r="J74" s="217"/>
      <c r="K74" s="217"/>
      <c r="L74" s="217"/>
      <c r="M74" s="217"/>
      <c r="N74" s="217"/>
      <c r="O74" s="38"/>
    </row>
    <row r="75" spans="2:15" x14ac:dyDescent="0.25">
      <c r="B75" s="226"/>
      <c r="C75" s="227"/>
      <c r="D75" s="217" t="s">
        <v>106</v>
      </c>
      <c r="E75" s="217"/>
      <c r="F75" s="217"/>
      <c r="G75" s="217"/>
      <c r="H75" s="217"/>
      <c r="I75" s="217"/>
      <c r="J75" s="217"/>
      <c r="K75" s="217"/>
      <c r="L75" s="217"/>
      <c r="M75" s="217"/>
      <c r="N75" s="217"/>
    </row>
    <row r="76" spans="2:15" x14ac:dyDescent="0.25">
      <c r="B76" s="226"/>
      <c r="C76" s="227"/>
      <c r="D76" s="217" t="s">
        <v>102</v>
      </c>
      <c r="E76" s="217"/>
      <c r="F76" s="217"/>
      <c r="G76" s="217"/>
      <c r="H76" s="217"/>
      <c r="I76" s="217"/>
      <c r="J76" s="217"/>
      <c r="K76" s="217"/>
      <c r="L76" s="217"/>
      <c r="M76" s="217"/>
      <c r="N76" s="217"/>
    </row>
    <row r="77" spans="2:15" x14ac:dyDescent="0.25">
      <c r="B77" s="19"/>
      <c r="C77" s="36"/>
      <c r="D77" s="37"/>
      <c r="E77" s="37"/>
      <c r="F77" s="37"/>
      <c r="G77" s="37"/>
      <c r="H77" s="37"/>
      <c r="I77" s="37"/>
      <c r="J77" s="37"/>
      <c r="K77" s="37"/>
    </row>
  </sheetData>
  <mergeCells count="52">
    <mergeCell ref="A43:A44"/>
    <mergeCell ref="B43:B44"/>
    <mergeCell ref="C43:T43"/>
    <mergeCell ref="C65:N65"/>
    <mergeCell ref="C69:C72"/>
    <mergeCell ref="C66:C67"/>
    <mergeCell ref="D69:N69"/>
    <mergeCell ref="D70:N70"/>
    <mergeCell ref="D71:N71"/>
    <mergeCell ref="D72:N72"/>
    <mergeCell ref="C68:N68"/>
    <mergeCell ref="B23:B24"/>
    <mergeCell ref="C53:N53"/>
    <mergeCell ref="D54:N54"/>
    <mergeCell ref="D55:N55"/>
    <mergeCell ref="D56:N56"/>
    <mergeCell ref="C23:T23"/>
    <mergeCell ref="C54:C56"/>
    <mergeCell ref="C33:T33"/>
    <mergeCell ref="B33:B34"/>
    <mergeCell ref="B73:B76"/>
    <mergeCell ref="C73:N73"/>
    <mergeCell ref="C57:N57"/>
    <mergeCell ref="B65:B67"/>
    <mergeCell ref="D66:N66"/>
    <mergeCell ref="D67:N67"/>
    <mergeCell ref="C58:C60"/>
    <mergeCell ref="D64:N64"/>
    <mergeCell ref="B68:B72"/>
    <mergeCell ref="D60:N60"/>
    <mergeCell ref="C61:N61"/>
    <mergeCell ref="D62:N62"/>
    <mergeCell ref="D58:N58"/>
    <mergeCell ref="C74:C76"/>
    <mergeCell ref="D74:N74"/>
    <mergeCell ref="D75:N75"/>
    <mergeCell ref="A1:T1"/>
    <mergeCell ref="D76:N76"/>
    <mergeCell ref="A3:A4"/>
    <mergeCell ref="B3:B4"/>
    <mergeCell ref="C3:T3"/>
    <mergeCell ref="D63:N63"/>
    <mergeCell ref="D59:N59"/>
    <mergeCell ref="B53:B56"/>
    <mergeCell ref="B57:B60"/>
    <mergeCell ref="B61:B64"/>
    <mergeCell ref="C62:C64"/>
    <mergeCell ref="A13:A14"/>
    <mergeCell ref="B13:B14"/>
    <mergeCell ref="C13:T13"/>
    <mergeCell ref="A23:A24"/>
    <mergeCell ref="A33:A34"/>
  </mergeCells>
  <phoneticPr fontId="16" type="noConversion"/>
  <pageMargins left="0.39370078740157483" right="0.11811023622047245" top="0.66" bottom="0.31496062992125984" header="0.51181102362204722" footer="0.51181102362204722"/>
  <pageSetup paperSize="9" scale="80" orientation="landscape" r:id="rId1"/>
  <headerFooter alignWithMargins="0">
    <oddHeader>&amp;C&amp;P</oddHeader>
  </headerFooter>
  <rowBreaks count="2" manualBreakCount="2">
    <brk id="22" max="19" man="1"/>
    <brk id="5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PL1</vt:lpstr>
      <vt:lpstr>PL2A</vt:lpstr>
      <vt:lpstr>PL2B</vt:lpstr>
      <vt:lpstr>PL3</vt:lpstr>
      <vt:lpstr>PL4</vt:lpstr>
      <vt:lpstr>PL4.1</vt:lpstr>
      <vt:lpstr>PL4.2</vt:lpstr>
      <vt:lpstr>PL5</vt:lpstr>
      <vt:lpstr>TONG HOP</vt:lpstr>
      <vt:lpstr>phu luc kem cv UBND</vt:lpstr>
      <vt:lpstr>tieu chuan</vt:lpstr>
      <vt:lpstr>'tieu chuan'!Print_Area</vt:lpstr>
      <vt:lpstr>PL2A!Print_Titles</vt:lpstr>
      <vt:lpstr>PL2B!Print_Titles</vt:lpstr>
      <vt:lpstr>'PL3'!Print_Titles</vt:lpstr>
      <vt:lpstr>'PL4'!Print_Titles</vt:lpstr>
      <vt:lpstr>'PL5'!Print_Titles</vt:lpstr>
      <vt:lpstr>'tieu chuan'!Print_Titles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2026-10-21T07:54:33Z</cp:lastPrinted>
  <dcterms:created xsi:type="dcterms:W3CDTF">2020-10-16T03:10:31Z</dcterms:created>
  <dcterms:modified xsi:type="dcterms:W3CDTF">2026-10-27T04:15:49Z</dcterms:modified>
</cp:coreProperties>
</file>